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axisestonia.sharepoint.com/sites/Praxis/Shared Documents/05_TSP/Arvamusartiklid ja blogi/"/>
    </mc:Choice>
  </mc:AlternateContent>
  <xr:revisionPtr revIDLastSave="0" documentId="8_{ED99E610-674D-4B4E-BBB6-7F3466580832}" xr6:coauthVersionLast="40" xr6:coauthVersionMax="40" xr10:uidLastSave="{00000000-0000-0000-0000-000000000000}"/>
  <bookViews>
    <workbookView xWindow="0" yWindow="0" windowWidth="11970" windowHeight="4125" firstSheet="2" activeTab="2" xr2:uid="{6CE61025-79B6-4B6A-95E4-3D24E621CE02}"/>
  </bookViews>
  <sheets>
    <sheet name="Calculations" sheetId="1" r:id="rId1"/>
    <sheet name="Figures" sheetId="4" r:id="rId2"/>
    <sheet name="WageProp_2015" sheetId="3" r:id="rId3"/>
    <sheet name="LifeExp" sheetId="2" r:id="rId4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X30" i="1"/>
  <c r="D30" i="1"/>
  <c r="E30" i="1"/>
  <c r="P30" i="1"/>
  <c r="A31" i="1"/>
  <c r="X31" i="1"/>
  <c r="D31" i="1"/>
  <c r="E31" i="1"/>
  <c r="P31" i="1"/>
  <c r="A32" i="1"/>
  <c r="X32" i="1"/>
  <c r="D32" i="1"/>
  <c r="E32" i="1"/>
  <c r="P32" i="1"/>
  <c r="A33" i="1"/>
  <c r="X33" i="1"/>
  <c r="D33" i="1"/>
  <c r="E33" i="1"/>
  <c r="P33" i="1"/>
  <c r="A34" i="1"/>
  <c r="X34" i="1"/>
  <c r="D34" i="1"/>
  <c r="E34" i="1"/>
  <c r="P34" i="1"/>
  <c r="A35" i="1"/>
  <c r="X35" i="1"/>
  <c r="D35" i="1"/>
  <c r="E35" i="1"/>
  <c r="P35" i="1"/>
  <c r="A36" i="1"/>
  <c r="X36" i="1"/>
  <c r="D36" i="1"/>
  <c r="E36" i="1"/>
  <c r="P36" i="1"/>
  <c r="A37" i="1"/>
  <c r="X37" i="1"/>
  <c r="D37" i="1"/>
  <c r="E37" i="1"/>
  <c r="P37" i="1"/>
  <c r="A38" i="1"/>
  <c r="X38" i="1"/>
  <c r="D38" i="1"/>
  <c r="E38" i="1"/>
  <c r="P38" i="1"/>
  <c r="A39" i="1"/>
  <c r="X39" i="1"/>
  <c r="D39" i="1"/>
  <c r="E39" i="1"/>
  <c r="P39" i="1"/>
  <c r="A40" i="1"/>
  <c r="X40" i="1"/>
  <c r="D40" i="1"/>
  <c r="E40" i="1"/>
  <c r="P40" i="1"/>
  <c r="A41" i="1"/>
  <c r="X41" i="1"/>
  <c r="D41" i="1"/>
  <c r="E41" i="1"/>
  <c r="P41" i="1"/>
  <c r="A42" i="1"/>
  <c r="X42" i="1"/>
  <c r="D42" i="1"/>
  <c r="E42" i="1"/>
  <c r="P42" i="1"/>
  <c r="A43" i="1"/>
  <c r="X43" i="1"/>
  <c r="D43" i="1"/>
  <c r="E43" i="1"/>
  <c r="P43" i="1"/>
  <c r="A44" i="1"/>
  <c r="X44" i="1"/>
  <c r="D44" i="1"/>
  <c r="E44" i="1"/>
  <c r="P44" i="1"/>
  <c r="A45" i="1"/>
  <c r="X45" i="1"/>
  <c r="D45" i="1"/>
  <c r="E45" i="1"/>
  <c r="P45" i="1"/>
  <c r="A46" i="1"/>
  <c r="X46" i="1"/>
  <c r="D46" i="1"/>
  <c r="E46" i="1"/>
  <c r="P46" i="1"/>
  <c r="A47" i="1"/>
  <c r="X47" i="1"/>
  <c r="D47" i="1"/>
  <c r="E47" i="1"/>
  <c r="P47" i="1"/>
  <c r="A48" i="1"/>
  <c r="X48" i="1"/>
  <c r="D48" i="1"/>
  <c r="E48" i="1"/>
  <c r="P48" i="1"/>
  <c r="A49" i="1"/>
  <c r="X49" i="1"/>
  <c r="D49" i="1"/>
  <c r="E49" i="1"/>
  <c r="P49" i="1"/>
  <c r="A50" i="1"/>
  <c r="X50" i="1"/>
  <c r="D50" i="1"/>
  <c r="E50" i="1"/>
  <c r="P50" i="1"/>
  <c r="A51" i="1"/>
  <c r="X51" i="1"/>
  <c r="D51" i="1"/>
  <c r="E51" i="1"/>
  <c r="P51" i="1"/>
  <c r="A52" i="1"/>
  <c r="X52" i="1"/>
  <c r="D52" i="1"/>
  <c r="E52" i="1"/>
  <c r="P52" i="1"/>
  <c r="A53" i="1"/>
  <c r="X53" i="1"/>
  <c r="D53" i="1"/>
  <c r="E53" i="1"/>
  <c r="P53" i="1"/>
  <c r="A54" i="1"/>
  <c r="X54" i="1"/>
  <c r="D54" i="1"/>
  <c r="E54" i="1"/>
  <c r="P54" i="1"/>
  <c r="A55" i="1"/>
  <c r="X55" i="1"/>
  <c r="D55" i="1"/>
  <c r="E55" i="1"/>
  <c r="P55" i="1"/>
  <c r="A56" i="1"/>
  <c r="X56" i="1"/>
  <c r="D56" i="1"/>
  <c r="E56" i="1"/>
  <c r="P56" i="1"/>
  <c r="A57" i="1"/>
  <c r="X57" i="1"/>
  <c r="D57" i="1"/>
  <c r="E57" i="1"/>
  <c r="P57" i="1"/>
  <c r="A58" i="1"/>
  <c r="X58" i="1"/>
  <c r="D58" i="1"/>
  <c r="E58" i="1"/>
  <c r="P58" i="1"/>
  <c r="A59" i="1"/>
  <c r="X59" i="1"/>
  <c r="D59" i="1"/>
  <c r="E59" i="1"/>
  <c r="P59" i="1"/>
  <c r="A60" i="1"/>
  <c r="X60" i="1"/>
  <c r="D60" i="1"/>
  <c r="E60" i="1"/>
  <c r="P60" i="1"/>
  <c r="A61" i="1"/>
  <c r="X61" i="1"/>
  <c r="D61" i="1"/>
  <c r="E61" i="1"/>
  <c r="P61" i="1"/>
  <c r="A62" i="1"/>
  <c r="X62" i="1"/>
  <c r="D62" i="1"/>
  <c r="E62" i="1"/>
  <c r="P62" i="1"/>
  <c r="A63" i="1"/>
  <c r="X63" i="1"/>
  <c r="D63" i="1"/>
  <c r="E63" i="1"/>
  <c r="P63" i="1"/>
  <c r="A64" i="1"/>
  <c r="X64" i="1"/>
  <c r="D64" i="1"/>
  <c r="E64" i="1"/>
  <c r="P64" i="1"/>
  <c r="A65" i="1"/>
  <c r="X65" i="1"/>
  <c r="D65" i="1"/>
  <c r="E65" i="1"/>
  <c r="P65" i="1"/>
  <c r="A66" i="1"/>
  <c r="X66" i="1"/>
  <c r="D66" i="1"/>
  <c r="E66" i="1"/>
  <c r="P66" i="1"/>
  <c r="A67" i="1"/>
  <c r="X67" i="1"/>
  <c r="D67" i="1"/>
  <c r="E67" i="1"/>
  <c r="P67" i="1"/>
  <c r="A68" i="1"/>
  <c r="X68" i="1"/>
  <c r="D68" i="1"/>
  <c r="E68" i="1"/>
  <c r="P68" i="1"/>
  <c r="A69" i="1"/>
  <c r="X69" i="1"/>
  <c r="D69" i="1"/>
  <c r="E69" i="1"/>
  <c r="P69" i="1"/>
  <c r="A70" i="1"/>
  <c r="X70" i="1"/>
  <c r="D70" i="1"/>
  <c r="E70" i="1"/>
  <c r="P70" i="1"/>
  <c r="A71" i="1"/>
  <c r="X71" i="1"/>
  <c r="D71" i="1"/>
  <c r="E71" i="1"/>
  <c r="P71" i="1"/>
  <c r="C20" i="1"/>
  <c r="K25" i="4"/>
  <c r="K24" i="4"/>
  <c r="K27" i="4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C1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C15" i="1"/>
  <c r="L19" i="4"/>
  <c r="K19" i="4"/>
  <c r="L18" i="4"/>
  <c r="K18" i="4"/>
  <c r="M18" i="4"/>
  <c r="L17" i="4"/>
  <c r="K17" i="4"/>
  <c r="K20" i="4"/>
  <c r="M20" i="4"/>
  <c r="M19" i="4"/>
  <c r="L27" i="4"/>
  <c r="K28" i="4"/>
  <c r="K21" i="4"/>
  <c r="M21" i="4"/>
  <c r="M17" i="4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3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29" i="1"/>
  <c r="E51" i="4"/>
  <c r="F51" i="4"/>
  <c r="E67" i="4"/>
  <c r="F67" i="4"/>
  <c r="E83" i="4"/>
  <c r="F83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38" i="4"/>
  <c r="F38" i="4"/>
  <c r="I83" i="1"/>
  <c r="I73" i="1"/>
  <c r="I74" i="1"/>
  <c r="I75" i="1"/>
  <c r="I76" i="1"/>
  <c r="I77" i="1"/>
  <c r="I78" i="1"/>
  <c r="I79" i="1"/>
  <c r="I80" i="1"/>
  <c r="I81" i="1"/>
  <c r="I82" i="1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C41" i="2"/>
  <c r="C4" i="1"/>
  <c r="C13" i="1"/>
  <c r="N96" i="1"/>
  <c r="N95" i="1"/>
  <c r="V30" i="1"/>
  <c r="W30" i="1"/>
  <c r="C18" i="1"/>
  <c r="C6" i="1"/>
  <c r="L30" i="1"/>
  <c r="V31" i="1"/>
  <c r="W31" i="1"/>
  <c r="I30" i="1"/>
  <c r="S31" i="1"/>
  <c r="L31" i="1"/>
  <c r="W32" i="1"/>
  <c r="V32" i="1"/>
  <c r="S30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Q31" i="1"/>
  <c r="Q32" i="1"/>
  <c r="S32" i="1"/>
  <c r="L32" i="1"/>
  <c r="L33" i="1"/>
  <c r="V33" i="1"/>
  <c r="W33" i="1"/>
  <c r="Q30" i="1"/>
  <c r="R30" i="1"/>
  <c r="R31" i="1"/>
  <c r="R32" i="1"/>
  <c r="S33" i="1"/>
  <c r="V34" i="1"/>
  <c r="W34" i="1"/>
  <c r="L34" i="1"/>
  <c r="Q33" i="1"/>
  <c r="R33" i="1"/>
  <c r="S34" i="1"/>
  <c r="V35" i="1"/>
  <c r="W35" i="1"/>
  <c r="L35" i="1"/>
  <c r="Q34" i="1"/>
  <c r="R34" i="1"/>
  <c r="W36" i="1"/>
  <c r="L36" i="1"/>
  <c r="V36" i="1"/>
  <c r="S35" i="1"/>
  <c r="Q35" i="1"/>
  <c r="R35" i="1"/>
  <c r="L37" i="1"/>
  <c r="V37" i="1"/>
  <c r="W37" i="1"/>
  <c r="S36" i="1"/>
  <c r="Q36" i="1"/>
  <c r="R36" i="1"/>
  <c r="V38" i="1"/>
  <c r="L38" i="1"/>
  <c r="W38" i="1"/>
  <c r="S37" i="1"/>
  <c r="Q37" i="1"/>
  <c r="R37" i="1"/>
  <c r="V39" i="1"/>
  <c r="W39" i="1"/>
  <c r="L39" i="1"/>
  <c r="S38" i="1"/>
  <c r="Q38" i="1"/>
  <c r="R38" i="1"/>
  <c r="W40" i="1"/>
  <c r="V40" i="1"/>
  <c r="L40" i="1"/>
  <c r="S39" i="1"/>
  <c r="Q39" i="1"/>
  <c r="R39" i="1"/>
  <c r="L41" i="1"/>
  <c r="V41" i="1"/>
  <c r="W41" i="1"/>
  <c r="S40" i="1"/>
  <c r="Q40" i="1"/>
  <c r="R40" i="1"/>
  <c r="S41" i="1"/>
  <c r="V42" i="1"/>
  <c r="L42" i="1"/>
  <c r="W42" i="1"/>
  <c r="Q41" i="1"/>
  <c r="R41" i="1"/>
  <c r="S42" i="1"/>
  <c r="V43" i="1"/>
  <c r="W43" i="1"/>
  <c r="L43" i="1"/>
  <c r="Q42" i="1"/>
  <c r="R42" i="1"/>
  <c r="S43" i="1"/>
  <c r="W44" i="1"/>
  <c r="L44" i="1"/>
  <c r="V44" i="1"/>
  <c r="Q43" i="1"/>
  <c r="R43" i="1"/>
  <c r="S44" i="1"/>
  <c r="L45" i="1"/>
  <c r="W45" i="1"/>
  <c r="V45" i="1"/>
  <c r="Q44" i="1"/>
  <c r="R44" i="1"/>
  <c r="S45" i="1"/>
  <c r="V46" i="1"/>
  <c r="W46" i="1"/>
  <c r="L46" i="1"/>
  <c r="Q45" i="1"/>
  <c r="R45" i="1"/>
  <c r="S46" i="1"/>
  <c r="V47" i="1"/>
  <c r="W47" i="1"/>
  <c r="L47" i="1"/>
  <c r="Q46" i="1"/>
  <c r="R46" i="1"/>
  <c r="S47" i="1"/>
  <c r="W48" i="1"/>
  <c r="L48" i="1"/>
  <c r="V48" i="1"/>
  <c r="Q47" i="1"/>
  <c r="R47" i="1"/>
  <c r="S48" i="1"/>
  <c r="L49" i="1"/>
  <c r="W49" i="1"/>
  <c r="V49" i="1"/>
  <c r="Q48" i="1"/>
  <c r="R48" i="1"/>
  <c r="S49" i="1"/>
  <c r="V50" i="1"/>
  <c r="W50" i="1"/>
  <c r="L50" i="1"/>
  <c r="Q49" i="1"/>
  <c r="R49" i="1"/>
  <c r="V51" i="1"/>
  <c r="W51" i="1"/>
  <c r="L51" i="1"/>
  <c r="S50" i="1"/>
  <c r="Q50" i="1"/>
  <c r="R50" i="1"/>
  <c r="W52" i="1"/>
  <c r="L52" i="1"/>
  <c r="V52" i="1"/>
  <c r="S51" i="1"/>
  <c r="Q51" i="1"/>
  <c r="R51" i="1"/>
  <c r="L53" i="1"/>
  <c r="W53" i="1"/>
  <c r="V53" i="1"/>
  <c r="S52" i="1"/>
  <c r="Q52" i="1"/>
  <c r="R52" i="1"/>
  <c r="S53" i="1"/>
  <c r="V54" i="1"/>
  <c r="W54" i="1"/>
  <c r="L54" i="1"/>
  <c r="Q53" i="1"/>
  <c r="R53" i="1"/>
  <c r="S54" i="1"/>
  <c r="V55" i="1"/>
  <c r="W55" i="1"/>
  <c r="L55" i="1"/>
  <c r="Q54" i="1"/>
  <c r="R54" i="1"/>
  <c r="S55" i="1"/>
  <c r="W56" i="1"/>
  <c r="L56" i="1"/>
  <c r="V56" i="1"/>
  <c r="Q55" i="1"/>
  <c r="R55" i="1"/>
  <c r="S56" i="1"/>
  <c r="L57" i="1"/>
  <c r="W57" i="1"/>
  <c r="V57" i="1"/>
  <c r="Q56" i="1"/>
  <c r="R56" i="1"/>
  <c r="S57" i="1"/>
  <c r="V58" i="1"/>
  <c r="W58" i="1"/>
  <c r="L58" i="1"/>
  <c r="Q57" i="1"/>
  <c r="R57" i="1"/>
  <c r="S58" i="1"/>
  <c r="V59" i="1"/>
  <c r="W59" i="1"/>
  <c r="L59" i="1"/>
  <c r="Q58" i="1"/>
  <c r="R58" i="1"/>
  <c r="S59" i="1"/>
  <c r="W60" i="1"/>
  <c r="L60" i="1"/>
  <c r="V60" i="1"/>
  <c r="Q59" i="1"/>
  <c r="R59" i="1"/>
  <c r="S60" i="1"/>
  <c r="L61" i="1"/>
  <c r="W61" i="1"/>
  <c r="V61" i="1"/>
  <c r="Q60" i="1"/>
  <c r="R60" i="1"/>
  <c r="S61" i="1"/>
  <c r="V62" i="1"/>
  <c r="L62" i="1"/>
  <c r="W62" i="1"/>
  <c r="Q61" i="1"/>
  <c r="R61" i="1"/>
  <c r="S62" i="1"/>
  <c r="V63" i="1"/>
  <c r="W63" i="1"/>
  <c r="L63" i="1"/>
  <c r="Q62" i="1"/>
  <c r="R62" i="1"/>
  <c r="S63" i="1"/>
  <c r="W64" i="1"/>
  <c r="L64" i="1"/>
  <c r="V64" i="1"/>
  <c r="Q63" i="1"/>
  <c r="R63" i="1"/>
  <c r="S64" i="1"/>
  <c r="L65" i="1"/>
  <c r="V65" i="1"/>
  <c r="W65" i="1"/>
  <c r="Q64" i="1"/>
  <c r="R64" i="1"/>
  <c r="S65" i="1"/>
  <c r="V66" i="1"/>
  <c r="L66" i="1"/>
  <c r="W66" i="1"/>
  <c r="Q65" i="1"/>
  <c r="R65" i="1"/>
  <c r="S66" i="1"/>
  <c r="V67" i="1"/>
  <c r="W67" i="1"/>
  <c r="L67" i="1"/>
  <c r="Q66" i="1"/>
  <c r="R66" i="1"/>
  <c r="S67" i="1"/>
  <c r="W68" i="1"/>
  <c r="L68" i="1"/>
  <c r="V68" i="1"/>
  <c r="Q67" i="1"/>
  <c r="R67" i="1"/>
  <c r="S68" i="1"/>
  <c r="L69" i="1"/>
  <c r="V69" i="1"/>
  <c r="W69" i="1"/>
  <c r="Q68" i="1"/>
  <c r="R68" i="1"/>
  <c r="S69" i="1"/>
  <c r="V70" i="1"/>
  <c r="L70" i="1"/>
  <c r="W70" i="1"/>
  <c r="Q69" i="1"/>
  <c r="R69" i="1"/>
  <c r="S70" i="1"/>
  <c r="A72" i="1"/>
  <c r="A73" i="1"/>
  <c r="A74" i="1"/>
  <c r="A75" i="1"/>
  <c r="A76" i="1"/>
  <c r="A77" i="1"/>
  <c r="A78" i="1"/>
  <c r="A79" i="1"/>
  <c r="A80" i="1"/>
  <c r="A81" i="1"/>
  <c r="A82" i="1"/>
  <c r="V71" i="1"/>
  <c r="W71" i="1"/>
  <c r="L71" i="1"/>
  <c r="Q70" i="1"/>
  <c r="R70" i="1"/>
  <c r="C17" i="1"/>
  <c r="S71" i="1"/>
  <c r="C24" i="1"/>
  <c r="C25" i="1"/>
  <c r="W72" i="1"/>
  <c r="V72" i="1"/>
  <c r="X72" i="1"/>
  <c r="D72" i="1"/>
  <c r="E72" i="1"/>
  <c r="L72" i="1"/>
  <c r="Q71" i="1"/>
  <c r="R71" i="1"/>
  <c r="S72" i="1"/>
  <c r="P72" i="1"/>
  <c r="Q72" i="1"/>
  <c r="M72" i="1"/>
  <c r="C12" i="1"/>
  <c r="L5" i="1"/>
  <c r="C19" i="1"/>
  <c r="C21" i="1"/>
  <c r="R72" i="1"/>
  <c r="N76" i="1"/>
  <c r="N92" i="1"/>
  <c r="N77" i="1"/>
  <c r="N93" i="1"/>
  <c r="N91" i="1"/>
  <c r="N86" i="1"/>
  <c r="N87" i="1"/>
  <c r="N80" i="1"/>
  <c r="N81" i="1"/>
  <c r="N72" i="1"/>
  <c r="N74" i="1"/>
  <c r="N90" i="1"/>
  <c r="N84" i="1"/>
  <c r="N85" i="1"/>
  <c r="N79" i="1"/>
  <c r="N78" i="1"/>
  <c r="N94" i="1"/>
  <c r="N88" i="1"/>
  <c r="N73" i="1"/>
  <c r="N89" i="1"/>
  <c r="N83" i="1"/>
  <c r="N82" i="1"/>
  <c r="N75" i="1"/>
  <c r="L4" i="1"/>
  <c r="C16" i="1"/>
  <c r="C26" i="1"/>
  <c r="M4" i="1"/>
  <c r="N4" i="1"/>
  <c r="N5" i="1"/>
  <c r="N6" i="1"/>
  <c r="L6" i="1"/>
  <c r="M5" i="1"/>
  <c r="M6" i="1"/>
</calcChain>
</file>

<file path=xl/sharedStrings.xml><?xml version="1.0" encoding="utf-8"?>
<sst xmlns="http://schemas.openxmlformats.org/spreadsheetml/2006/main" count="271" uniqueCount="163">
  <si>
    <t>Millist proportsiooni palgast kasutada</t>
  </si>
  <si>
    <t>0 - keskmine palk; 1 - Mediaan (75%), 2 - naiste elutsükli palk; 3 - meeste elutsükli palk; 4 keskmine elutsükli palk;</t>
  </si>
  <si>
    <t>Pensioniiga</t>
  </si>
  <si>
    <t>Nominal value</t>
  </si>
  <si>
    <t>GRPL (replacement rate to national average wage)</t>
  </si>
  <si>
    <t>GRR (replacement rate to person own last wage)</t>
  </si>
  <si>
    <t>Pensionile jäämise aasta</t>
  </si>
  <si>
    <t>I pillar pension</t>
  </si>
  <si>
    <t>Töötamise algus (vanus)</t>
  </si>
  <si>
    <t>II pillar pension</t>
  </si>
  <si>
    <t>Mediaanpalga osakaal keskmisest</t>
  </si>
  <si>
    <t>Total</t>
  </si>
  <si>
    <t>SA keskmise palga ja EMTA keskmise palga erinevus</t>
  </si>
  <si>
    <t>II sambaga liitumine (Jah; Ei)</t>
  </si>
  <si>
    <t>Jah</t>
  </si>
  <si>
    <t>II samba reaaltootluse valik</t>
  </si>
  <si>
    <t>0 - valitud reaaltootlus; 1 - sotsiaalmaksu laekumise kasv</t>
  </si>
  <si>
    <t>II samba reaaltootlus</t>
  </si>
  <si>
    <t>II samba annuiteedi intress (nominaal)</t>
  </si>
  <si>
    <t>II SAMBA PENSION</t>
  </si>
  <si>
    <t>Oodatav eluiga</t>
  </si>
  <si>
    <t>Teenitud kindlustusosakuid</t>
  </si>
  <si>
    <t>I SAMBA PENSION</t>
  </si>
  <si>
    <t>PENSION KOKKU</t>
  </si>
  <si>
    <t>Inimese viimane palk</t>
  </si>
  <si>
    <t>Riigi keskmine palk pensionile jäädes</t>
  </si>
  <si>
    <t>II samba vara väärtus enne pensioniiga</t>
  </si>
  <si>
    <t>II samba sissemaksete summa</t>
  </si>
  <si>
    <t>II samba kasv</t>
  </si>
  <si>
    <t>Kindlustusosakuid kui I sambasse läheks 22%</t>
  </si>
  <si>
    <t>I samba pension suurema maksega</t>
  </si>
  <si>
    <t>Sotsiaalmaksu laekumine</t>
  </si>
  <si>
    <t>THI</t>
  </si>
  <si>
    <t>Vanus</t>
  </si>
  <si>
    <t>Aasta</t>
  </si>
  <si>
    <t>Keskmine palk</t>
  </si>
  <si>
    <t>Osakaal keskmisest palgast</t>
  </si>
  <si>
    <t>Inimese palk</t>
  </si>
  <si>
    <t>PI</t>
  </si>
  <si>
    <t>Aastahinne</t>
  </si>
  <si>
    <t>Baasosa</t>
  </si>
  <si>
    <t>Kindlustusosaku saamiseks makstav summa aastas</t>
  </si>
  <si>
    <t>Kindlustusosakuid</t>
  </si>
  <si>
    <t>I samba aastane pension</t>
  </si>
  <si>
    <t>II samba tootlus</t>
  </si>
  <si>
    <t>II samba sissemakse</t>
  </si>
  <si>
    <t>Sissemakse kasv</t>
  </si>
  <si>
    <t>II samba väärtus</t>
  </si>
  <si>
    <t>Kindlustusosak 22%ga</t>
  </si>
  <si>
    <t>Empirically calculated wage by age from average wage for women</t>
  </si>
  <si>
    <t>Empirically calculated wage by age from average wage for men</t>
  </si>
  <si>
    <t>Empirically calculated wage by age from average wage (average)</t>
  </si>
  <si>
    <t>2% + 2%</t>
  </si>
  <si>
    <t>IRR</t>
  </si>
  <si>
    <t>4% + 2%</t>
  </si>
  <si>
    <t>I sammas</t>
  </si>
  <si>
    <t>II sammas</t>
  </si>
  <si>
    <t>Kokku</t>
  </si>
  <si>
    <t>Nominaaltootlus 2%</t>
  </si>
  <si>
    <t>6% + 2%</t>
  </si>
  <si>
    <t>Nominaaltootlus 4%</t>
  </si>
  <si>
    <t>Nominaaltootlus 6%</t>
  </si>
  <si>
    <t>I sammas - optimistlik variant</t>
  </si>
  <si>
    <t>I sammas - realistlik variant</t>
  </si>
  <si>
    <t>Vanaduspensionäre</t>
  </si>
  <si>
    <t>Töötavaid inimesi</t>
  </si>
  <si>
    <t>EMTA keskmine palk 2060</t>
  </si>
  <si>
    <t>Tulud kuus 2060</t>
  </si>
  <si>
    <t>Kulud kuus 2060</t>
  </si>
  <si>
    <t>Age</t>
  </si>
  <si>
    <t>Salary profile</t>
  </si>
  <si>
    <t>Women wage</t>
  </si>
  <si>
    <t>Men wage</t>
  </si>
  <si>
    <t>Average Wage</t>
  </si>
  <si>
    <t>Assumptions for life expectancy by age, sex and type of projection [proj_15nalexp]</t>
  </si>
  <si>
    <t>Last update</t>
  </si>
  <si>
    <t>Extracted on</t>
  </si>
  <si>
    <t>Source of data</t>
  </si>
  <si>
    <t>Eurostat</t>
  </si>
  <si>
    <t>UNIT</t>
  </si>
  <si>
    <t>Year</t>
  </si>
  <si>
    <t>AGE</t>
  </si>
  <si>
    <t>65 years</t>
  </si>
  <si>
    <t>PROJECTION</t>
  </si>
  <si>
    <t xml:space="preserve">Baseline projections </t>
  </si>
  <si>
    <t>SEX</t>
  </si>
  <si>
    <t>GEO/TIME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</si>
  <si>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</si>
  <si>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</si>
  <si>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</si>
  <si>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</si>
  <si>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</si>
  <si>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</si>
  <si>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</si>
  <si>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</si>
  <si>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</si>
  <si>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</si>
  <si>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</si>
  <si>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</si>
  <si>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</si>
  <si>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</si>
  <si>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</si>
  <si>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</si>
  <si>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</si>
  <si>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</si>
  <si>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</si>
  <si>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</si>
  <si>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</si>
  <si>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</si>
  <si>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</si>
  <si>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</si>
  <si>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</si>
  <si>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</si>
  <si>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</si>
  <si>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</si>
  <si>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</si>
  <si>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</si>
  <si>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</si>
  <si>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</si>
  <si>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</si>
  <si>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</si>
  <si>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</si>
  <si>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</si>
  <si>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</si>
  <si>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</si>
  <si>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</si>
  <si>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</si>
  <si>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</si>
  <si>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</si>
  <si>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</si>
  <si>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</si>
  <si>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</si>
  <si>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</si>
  <si>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</si>
  <si>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</si>
  <si>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</si>
  <si>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</si>
  <si>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</si>
  <si>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</si>
  <si>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</si>
  <si>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</si>
  <si>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</si>
  <si>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</si>
  <si>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</si>
  <si>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</si>
  <si>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</si>
  <si>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</si>
  <si>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</si>
  <si>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</si>
  <si>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</si>
  <si>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</si>
  <si>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</si>
  <si>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</si>
  <si>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Males</t>
  </si>
  <si>
    <t>Estonia</t>
  </si>
  <si>
    <t>Females</t>
  </si>
  <si>
    <t>Special value:</t>
  </si>
  <si>
    <t>:</t>
  </si>
  <si>
    <t>not available</t>
  </si>
  <si>
    <t>Population on 1st January by age, sex and type of projection [proj_15npms]</t>
  </si>
  <si>
    <t>Person</t>
  </si>
  <si>
    <t>2081</t>
  </si>
  <si>
    <t>Unisex Lifeexpectancy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</si>
</sst>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00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dd\.mm\.yy"/>
    <numFmt numFmtId="170" formatCode="0.0"/>
    <numFmt numFmtId="171" formatCode="_-* #,##0.0\ _€_-;\-* #,##0.0\ _€_-;_-* &quot;-&quot;??\ _€_-;_-@_-"/>
  </numFmts>
  <fonts count="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Garamond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164" fontId="0" fillId="0" borderId="0" xfId="3" applyNumberFormat="1" applyFont="1"/>
    <xf numFmtId="3" fontId="3" fillId="0" borderId="1" xfId="0" applyNumberFormat="1" applyFont="1" applyBorder="1"/>
    <xf numFmtId="3" fontId="3" fillId="2" borderId="1" xfId="0" applyNumberFormat="1" applyFont="1" applyFill="1" applyBorder="1"/>
    <xf numFmtId="9" fontId="0" fillId="0" borderId="0" xfId="3" applyFont="1"/>
    <xf numFmtId="8" fontId="0" fillId="0" borderId="0" xfId="0" applyNumberFormat="1"/>
    <xf numFmtId="165" fontId="3" fillId="2" borderId="2" xfId="0" applyNumberFormat="1" applyFont="1" applyFill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0" fillId="0" borderId="0" xfId="0"/>
    <xf numFmtId="165" fontId="3" fillId="0" borderId="2" xfId="0" applyNumberFormat="1" applyFont="1" applyFill="1" applyBorder="1"/>
    <xf numFmtId="6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164" fontId="3" fillId="0" borderId="0" xfId="0" applyNumberFormat="1" applyFont="1" applyBorder="1"/>
    <xf numFmtId="0" fontId="0" fillId="3" borderId="0" xfId="0" applyFill="1"/>
    <xf numFmtId="6" fontId="0" fillId="4" borderId="0" xfId="0" applyNumberFormat="1" applyFill="1"/>
    <xf numFmtId="167" fontId="0" fillId="4" borderId="0" xfId="2" applyNumberFormat="1" applyFont="1" applyFill="1"/>
    <xf numFmtId="0" fontId="0" fillId="5" borderId="0" xfId="0" applyFill="1"/>
    <xf numFmtId="9" fontId="0" fillId="5" borderId="0" xfId="3" applyNumberFormat="1" applyFont="1" applyFill="1"/>
    <xf numFmtId="9" fontId="0" fillId="5" borderId="0" xfId="0" applyNumberFormat="1" applyFill="1"/>
    <xf numFmtId="0" fontId="2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6" fontId="0" fillId="0" borderId="0" xfId="0" applyNumberFormat="1" applyFill="1"/>
    <xf numFmtId="9" fontId="0" fillId="0" borderId="0" xfId="3" applyFont="1" applyFill="1"/>
    <xf numFmtId="165" fontId="5" fillId="0" borderId="3" xfId="4" applyNumberFormat="1" applyFont="1" applyFill="1" applyBorder="1" applyAlignment="1"/>
    <xf numFmtId="0" fontId="4" fillId="0" borderId="0" xfId="4"/>
    <xf numFmtId="0" fontId="5" fillId="0" borderId="0" xfId="4" applyNumberFormat="1" applyFont="1" applyFill="1" applyBorder="1" applyAlignment="1"/>
    <xf numFmtId="169" fontId="5" fillId="0" borderId="0" xfId="4" applyNumberFormat="1" applyFont="1" applyFill="1" applyBorder="1" applyAlignment="1"/>
    <xf numFmtId="0" fontId="5" fillId="6" borderId="3" xfId="4" applyNumberFormat="1" applyFont="1" applyFill="1" applyBorder="1" applyAlignment="1"/>
    <xf numFmtId="3" fontId="5" fillId="0" borderId="3" xfId="4" applyNumberFormat="1" applyFont="1" applyFill="1" applyBorder="1" applyAlignment="1"/>
    <xf numFmtId="170" fontId="0" fillId="0" borderId="0" xfId="0" applyNumberFormat="1"/>
    <xf numFmtId="170" fontId="0" fillId="5" borderId="0" xfId="0" applyNumberFormat="1" applyFill="1"/>
    <xf numFmtId="0" fontId="0" fillId="2" borderId="0" xfId="0" applyFill="1"/>
    <xf numFmtId="6" fontId="0" fillId="2" borderId="0" xfId="0" applyNumberFormat="1" applyFill="1"/>
    <xf numFmtId="0" fontId="0" fillId="4" borderId="0" xfId="0" applyFill="1"/>
    <xf numFmtId="0" fontId="0" fillId="0" borderId="0" xfId="0" applyFill="1"/>
    <xf numFmtId="9" fontId="0" fillId="0" borderId="0" xfId="0" applyNumberFormat="1" applyFill="1"/>
    <xf numFmtId="164" fontId="0" fillId="0" borderId="0" xfId="0" applyNumberFormat="1" applyFill="1"/>
    <xf numFmtId="168" fontId="0" fillId="0" borderId="0" xfId="1" applyNumberFormat="1" applyFont="1" applyFill="1"/>
    <xf numFmtId="1" fontId="0" fillId="0" borderId="0" xfId="0" applyNumberFormat="1" applyFill="1"/>
    <xf numFmtId="167" fontId="0" fillId="0" borderId="0" xfId="2" applyNumberFormat="1" applyFont="1" applyFill="1"/>
    <xf numFmtId="4" fontId="3" fillId="2" borderId="0" xfId="0" applyNumberFormat="1" applyFont="1" applyFill="1" applyBorder="1"/>
    <xf numFmtId="0" fontId="0" fillId="0" borderId="0" xfId="0" applyAlignment="1">
      <alignment horizontal="left" vertical="top"/>
    </xf>
    <xf numFmtId="0" fontId="0" fillId="0" borderId="1" xfId="0" applyBorder="1"/>
    <xf numFmtId="164" fontId="0" fillId="0" borderId="1" xfId="3" applyNumberFormat="1" applyFont="1" applyBorder="1"/>
    <xf numFmtId="6" fontId="0" fillId="0" borderId="1" xfId="0" applyNumberFormat="1" applyBorder="1"/>
    <xf numFmtId="0" fontId="0" fillId="7" borderId="1" xfId="0" applyFill="1" applyBorder="1"/>
    <xf numFmtId="167" fontId="0" fillId="7" borderId="1" xfId="0" applyNumberFormat="1" applyFill="1" applyBorder="1"/>
    <xf numFmtId="164" fontId="0" fillId="7" borderId="1" xfId="3" applyNumberFormat="1" applyFont="1" applyFill="1" applyBorder="1"/>
    <xf numFmtId="0" fontId="0" fillId="8" borderId="1" xfId="0" applyFill="1" applyBorder="1"/>
    <xf numFmtId="6" fontId="0" fillId="8" borderId="1" xfId="0" applyNumberFormat="1" applyFill="1" applyBorder="1"/>
    <xf numFmtId="164" fontId="0" fillId="8" borderId="1" xfId="3" applyNumberFormat="1" applyFont="1" applyFill="1" applyBorder="1"/>
    <xf numFmtId="3" fontId="3" fillId="0" borderId="5" xfId="0" applyNumberFormat="1" applyFont="1" applyBorder="1"/>
    <xf numFmtId="165" fontId="3" fillId="0" borderId="6" xfId="0" applyNumberFormat="1" applyFont="1" applyBorder="1"/>
    <xf numFmtId="165" fontId="3" fillId="0" borderId="0" xfId="0" applyNumberFormat="1" applyFont="1" applyFill="1" applyBorder="1"/>
    <xf numFmtId="164" fontId="3" fillId="0" borderId="7" xfId="3" applyNumberFormat="1" applyFont="1" applyFill="1" applyBorder="1" applyAlignment="1">
      <alignment wrapText="1"/>
    </xf>
    <xf numFmtId="167" fontId="0" fillId="0" borderId="0" xfId="0" applyNumberFormat="1"/>
    <xf numFmtId="44" fontId="0" fillId="0" borderId="0" xfId="0" applyNumberFormat="1"/>
    <xf numFmtId="164" fontId="0" fillId="4" borderId="0" xfId="3" applyNumberFormat="1" applyFont="1" applyFill="1"/>
    <xf numFmtId="171" fontId="0" fillId="2" borderId="0" xfId="1" applyNumberFormat="1" applyFont="1" applyFill="1"/>
    <xf numFmtId="0" fontId="2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</cellXfs>
  <cellStyles count="5">
    <cellStyle name="Koma" xfId="1" builtinId="3"/>
    <cellStyle name="Normaallaad" xfId="0" builtinId="0"/>
    <cellStyle name="Normal 2" xfId="4" xr:uid="{00000000-0005-0000-0000-00002F000000}"/>
    <cellStyle name="Protsent" xfId="3" builtinId="5"/>
    <cellStyle name="Valu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Figures!$F$37</c:f>
              <c:strCache>
                <c:ptCount val="1"/>
                <c:pt idx="0">
                  <c:v>Salary profile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Figures!$E$43:$E$85</c:f>
              <c:numCache>
                <c:formatCode>General</c:formatCode>
                <c:ptCount val="4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</c:numCache>
            </c:numRef>
          </c:cat>
          <c:val>
            <c:numRef>
              <c:f>Figures!$F$43:$F$85</c:f>
              <c:numCache>
                <c:formatCode>General</c:formatCode>
                <c:ptCount val="43"/>
                <c:pt idx="0">
                  <c:v>0.52946478128433228</c:v>
                </c:pt>
                <c:pt idx="1">
                  <c:v>0.63062118159400093</c:v>
                </c:pt>
                <c:pt idx="2">
                  <c:v>0.73825034830305314</c:v>
                </c:pt>
                <c:pt idx="3">
                  <c:v>0.80689575937059188</c:v>
                </c:pt>
                <c:pt idx="4">
                  <c:v>0.85872113704681396</c:v>
                </c:pt>
                <c:pt idx="5">
                  <c:v>0.90159647994571257</c:v>
                </c:pt>
                <c:pt idx="6">
                  <c:v>0.93647294574313689</c:v>
                </c:pt>
                <c:pt idx="7">
                  <c:v>0.95692144499884713</c:v>
                </c:pt>
                <c:pt idx="8">
                  <c:v>0.98832348982493079</c:v>
                </c:pt>
                <c:pt idx="9">
                  <c:v>1.0166435771518283</c:v>
                </c:pt>
                <c:pt idx="10">
                  <c:v>1.0467680957582262</c:v>
                </c:pt>
                <c:pt idx="11">
                  <c:v>1.0559636354446411</c:v>
                </c:pt>
                <c:pt idx="12">
                  <c:v>1.080448693699307</c:v>
                </c:pt>
                <c:pt idx="13">
                  <c:v>1.0937941074371338</c:v>
                </c:pt>
                <c:pt idx="14">
                  <c:v>1.1077006657918294</c:v>
                </c:pt>
                <c:pt idx="15">
                  <c:v>1.1076841089460585</c:v>
                </c:pt>
                <c:pt idx="16">
                  <c:v>1.1054974794387817</c:v>
                </c:pt>
                <c:pt idx="17">
                  <c:v>1.0987694395913017</c:v>
                </c:pt>
                <c:pt idx="18">
                  <c:v>1.1073120435078938</c:v>
                </c:pt>
                <c:pt idx="19">
                  <c:v>1.0749280452728271</c:v>
                </c:pt>
                <c:pt idx="20">
                  <c:v>1.0771254036161635</c:v>
                </c:pt>
                <c:pt idx="21">
                  <c:v>1.082451475991143</c:v>
                </c:pt>
                <c:pt idx="22">
                  <c:v>1.0699954960081313</c:v>
                </c:pt>
                <c:pt idx="23">
                  <c:v>1.0616339577568901</c:v>
                </c:pt>
                <c:pt idx="24">
                  <c:v>1.0309769709904988</c:v>
                </c:pt>
                <c:pt idx="25">
                  <c:v>1.0209473636415269</c:v>
                </c:pt>
                <c:pt idx="26">
                  <c:v>1.0313291682137382</c:v>
                </c:pt>
                <c:pt idx="27">
                  <c:v>0.99765711360507536</c:v>
                </c:pt>
                <c:pt idx="28">
                  <c:v>0.97454620732201469</c:v>
                </c:pt>
                <c:pt idx="29">
                  <c:v>0.95117814011043966</c:v>
                </c:pt>
                <c:pt idx="30">
                  <c:v>0.92420438925425208</c:v>
                </c:pt>
                <c:pt idx="31">
                  <c:v>0.89964780542585587</c:v>
                </c:pt>
                <c:pt idx="32">
                  <c:v>0.89104480213589132</c:v>
                </c:pt>
                <c:pt idx="33">
                  <c:v>0.87765230072869194</c:v>
                </c:pt>
                <c:pt idx="34">
                  <c:v>0.86215171549055314</c:v>
                </c:pt>
                <c:pt idx="35">
                  <c:v>0.8331867059071858</c:v>
                </c:pt>
                <c:pt idx="36">
                  <c:v>0.83328333165910506</c:v>
                </c:pt>
                <c:pt idx="37">
                  <c:v>0.82758797539605033</c:v>
                </c:pt>
                <c:pt idx="38">
                  <c:v>0.81344842910766602</c:v>
                </c:pt>
                <c:pt idx="39">
                  <c:v>0.82434455553690589</c:v>
                </c:pt>
                <c:pt idx="40">
                  <c:v>0.7634488741556803</c:v>
                </c:pt>
                <c:pt idx="41">
                  <c:v>0.73049167792002356</c:v>
                </c:pt>
                <c:pt idx="42">
                  <c:v>0.70036080148484969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8-4688-A130-6522BE01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48949288"/>
        <c:axId val="648951912"/>
      </c:lineChart>
      <c:catAx>
        <c:axId val="64894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51912"/>
        <c:crosses val="autoZero"/>
        <c:auto val="1"/>
        <c:lblAlgn val="ctr"/>
        <c:lblOffset val="100"/>
        <c:noMultiLvlLbl val="0"/>
      </c:catAx>
      <c:valAx>
        <c:axId val="648951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4928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93888888888888888"/>
          <c:h val="0.707993584135316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Figures!$K$16</c:f>
              <c:strCache>
                <c:ptCount val="1"/>
                <c:pt idx="0">
                  <c:v>I sammas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Figures!$J$17:$J$21</c:f>
              <c:strCache>
                <c:ptCount val="5"/>
                <c:pt idx="0">
                  <c:v>Nominaaltootlus 2%</c:v>
                </c:pt>
                <c:pt idx="1">
                  <c:v>Nominaaltootlus 4%</c:v>
                </c:pt>
                <c:pt idx="2">
                  <c:v>Nominaaltootlus 6%</c:v>
                </c:pt>
                <c:pt idx="3">
                  <c:v>I sammas - optimistlik variant</c:v>
                </c:pt>
                <c:pt idx="4">
                  <c:v>I sammas - realistlik variant</c:v>
                </c:pt>
              </c:strCache>
            </c:strRef>
          </c:cat>
          <c:val>
            <c:numRef>
              <c:f>Figures!$K$17:$K$21</c:f>
              <c:numCache>
                <c:formatCode>_-* #,##0\ "€"_-;\-* #,##0\ "€"_-;_-* "-"??\ "€"_-;_-@_-</c:formatCode>
                <c:ptCount val="5"/>
                <c:pt idx="0">
                  <c:v>1586.2207313129018</c:v>
                </c:pt>
                <c:pt idx="1">
                  <c:v>1586.2207313129018</c:v>
                </c:pt>
                <c:pt idx="2">
                  <c:v>1586.2207313129018</c:v>
                </c:pt>
                <c:pt idx="3">
                  <c:v>2113.3525313129016</c:v>
                </c:pt>
                <c:pt idx="4">
                  <c:v>1932.8317451282774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9-42C1-9218-4FB18AF659F8}"/>
            </c:ext>
          </c:extLst>
        </c:ser>
        <c:ser>
          <c:idx val="1"/>
          <c:order val="1"/>
          <c:tx>
            <c:strRef>
              <c:f>Figures!$L$16</c:f>
              <c:strCache>
                <c:ptCount val="1"/>
                <c:pt idx="0">
                  <c:v>II sammas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Figures!$J$17:$J$21</c:f>
              <c:strCache>
                <c:ptCount val="5"/>
                <c:pt idx="0">
                  <c:v>Nominaaltootlus 2%</c:v>
                </c:pt>
                <c:pt idx="1">
                  <c:v>Nominaaltootlus 4%</c:v>
                </c:pt>
                <c:pt idx="2">
                  <c:v>Nominaaltootlus 6%</c:v>
                </c:pt>
                <c:pt idx="3">
                  <c:v>I sammas - optimistlik variant</c:v>
                </c:pt>
                <c:pt idx="4">
                  <c:v>I sammas - realistlik variant</c:v>
                </c:pt>
              </c:strCache>
            </c:strRef>
          </c:cat>
          <c:val>
            <c:numRef>
              <c:f>Figures!$L$17:$L$21</c:f>
              <c:numCache>
                <c:formatCode>"€"#,##0_);[Red]\("€"#,##0\)</c:formatCode>
                <c:ptCount val="5"/>
                <c:pt idx="0">
                  <c:v>583.84473886588273</c:v>
                </c:pt>
                <c:pt idx="1">
                  <c:v>856.96758270046189</c:v>
                </c:pt>
                <c:pt idx="2">
                  <c:v>1307.9288695478729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9-42C1-9218-4FB18AF659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6056448"/>
        <c:axId val="756056776"/>
      </c:barChart>
      <c:lineChart>
        <c:grouping val="standard"/>
        <c:varyColors val="0"/>
        <c:ser>
          <c:idx val="2"/>
          <c:order val="2"/>
          <c:tx>
            <c:strRef>
              <c:f>Figures!$M$16</c:f>
              <c:strCache>
                <c:ptCount val="1"/>
                <c:pt idx="0">
                  <c:v>Kokku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Figures!$J$17:$J$21</c:f>
              <c:strCache>
                <c:ptCount val="5"/>
                <c:pt idx="0">
                  <c:v>Nominaaltootlus 2%</c:v>
                </c:pt>
                <c:pt idx="1">
                  <c:v>Nominaaltootlus 4%</c:v>
                </c:pt>
                <c:pt idx="2">
                  <c:v>Nominaaltootlus 6%</c:v>
                </c:pt>
                <c:pt idx="3">
                  <c:v>I sammas - optimistlik variant</c:v>
                </c:pt>
                <c:pt idx="4">
                  <c:v>I sammas - realistlik variant</c:v>
                </c:pt>
              </c:strCache>
            </c:strRef>
          </c:cat>
          <c:val>
            <c:numRef>
              <c:f>Figures!$M$17:$M$21</c:f>
              <c:numCache>
                <c:formatCode>_-* #,##0\ "€"_-;\-* #,##0\ "€"_-;_-* "-"??\ "€"_-;_-@_-</c:formatCode>
                <c:ptCount val="5"/>
                <c:pt idx="0">
                  <c:v>2170.0654701787844</c:v>
                </c:pt>
                <c:pt idx="1">
                  <c:v>2443.1883140133637</c:v>
                </c:pt>
                <c:pt idx="2">
                  <c:v>2894.1496008607746</c:v>
                </c:pt>
                <c:pt idx="3">
                  <c:v>2113.3525313129016</c:v>
                </c:pt>
                <c:pt idx="4">
                  <c:v>1932.8317451282774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9-42C1-9218-4FB18AF6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056448"/>
        <c:axId val="756056776"/>
      </c:lineChart>
      <c:catAx>
        <c:axId val="7560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56776"/>
        <c:crosses val="autoZero"/>
        <c:auto val="1"/>
        <c:lblAlgn val="ctr"/>
        <c:lblOffset val="100"/>
        <c:noMultiLvlLbl val="0"/>
      </c:catAx>
      <c:valAx>
        <c:axId val="75605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31</xdr:row>
      <xdr:rowOff>0</xdr:rowOff>
    </xdr:from>
    <xdr:to>
      <xdr:col>21</xdr:col>
      <xdr:colOff>304800</xdr:colOff>
      <xdr:row>45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25C1F0-AF6C-4F5D-AD46-A1DB420CE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466725</xdr:colOff>
      <xdr:row>10</xdr:row>
      <xdr:rowOff>171450</xdr:rowOff>
    </xdr:from>
    <xdr:to>
      <xdr:col>21</xdr:col>
      <xdr:colOff>161925</xdr:colOff>
      <xdr:row>25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DB53A0-6179-4F82-B4CA-79B54BF7B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F3B2-C793-488D-8EA7-DDA21600502F}">
  <dimension ref="A1:BC96"/>
  <sheetViews>
    <sheetView workbookViewId="0" xr3:uid="{686BF603-75D7-5CA5-82A0-C463749A3EE2}">
      <selection activeCell="C11" sqref="C11"/>
    </sheetView>
  </sheetViews>
  <sheetFormatPr defaultRowHeight="15"/>
  <cols>
    <col min="2" max="2" width="41.42578125" bestFit="1" customWidth="1"/>
    <col min="3" max="3" width="10.85546875" bestFit="1" customWidth="1"/>
    <col min="4" max="4" width="7.28515625" style="9" customWidth="1"/>
    <col min="5" max="5" width="11.5703125" customWidth="1"/>
    <col min="7" max="7" width="9.140625" style="9"/>
    <col min="8" max="8" width="9.42578125" bestFit="1" customWidth="1"/>
    <col min="10" max="10" width="12.28515625" customWidth="1"/>
    <col min="12" max="12" width="10.85546875" bestFit="1" customWidth="1"/>
    <col min="13" max="13" width="15.140625" style="9" bestFit="1" customWidth="1"/>
    <col min="14" max="14" width="19" bestFit="1" customWidth="1"/>
    <col min="15" max="15" width="12" customWidth="1"/>
    <col min="16" max="16" width="10.5703125" bestFit="1" customWidth="1"/>
    <col min="17" max="17" width="15.28515625" customWidth="1"/>
  </cols>
  <sheetData>
    <row r="1" spans="2:15" s="9" customFormat="1"/>
    <row r="2" spans="2:15" s="9" customFormat="1">
      <c r="B2" s="9" t="s">
        <v>0</v>
      </c>
      <c r="C2" s="43">
        <v>4</v>
      </c>
      <c r="D2" s="9" t="s">
        <v>1</v>
      </c>
    </row>
    <row r="3" spans="2:15" s="9" customFormat="1">
      <c r="B3" s="9" t="s">
        <v>2</v>
      </c>
      <c r="C3" s="41">
        <v>65</v>
      </c>
      <c r="D3" s="44"/>
      <c r="K3" s="52"/>
      <c r="L3" s="52" t="s">
        <v>3</v>
      </c>
      <c r="M3" s="52" t="s">
        <v>4</v>
      </c>
      <c r="N3" s="52" t="s">
        <v>5</v>
      </c>
      <c r="O3" s="52"/>
    </row>
    <row r="4" spans="2:15" s="9" customFormat="1">
      <c r="B4" s="9" t="s">
        <v>6</v>
      </c>
      <c r="C4" s="41">
        <f>-C5+C3+2018</f>
        <v>2060</v>
      </c>
      <c r="D4" s="44"/>
      <c r="K4" s="55" t="s">
        <v>7</v>
      </c>
      <c r="L4" s="56">
        <f>C15</f>
        <v>1586.2207313129018</v>
      </c>
      <c r="M4" s="57">
        <f>L4/$C$18</f>
        <v>0.21123337615940477</v>
      </c>
      <c r="N4" s="57">
        <f>L4/$C$17</f>
        <v>0.33329798253257559</v>
      </c>
      <c r="O4" s="57"/>
    </row>
    <row r="5" spans="2:15" s="9" customFormat="1">
      <c r="B5" s="9" t="s">
        <v>8</v>
      </c>
      <c r="C5" s="19">
        <v>23</v>
      </c>
      <c r="D5" s="44"/>
      <c r="K5" s="58" t="s">
        <v>9</v>
      </c>
      <c r="L5" s="59">
        <f>C12</f>
        <v>2386.7409606245265</v>
      </c>
      <c r="M5" s="60">
        <f>L5/$C$18</f>
        <v>0.31783681878459069</v>
      </c>
      <c r="N5" s="60">
        <f>L5/$C$17</f>
        <v>0.50150394034100831</v>
      </c>
      <c r="O5" s="60"/>
    </row>
    <row r="6" spans="2:15">
      <c r="B6" s="9" t="s">
        <v>10</v>
      </c>
      <c r="C6" s="24">
        <f>75%</f>
        <v>0.75</v>
      </c>
      <c r="D6" s="45"/>
      <c r="E6" s="9"/>
      <c r="F6" s="9"/>
      <c r="H6" s="9"/>
      <c r="I6" s="9"/>
      <c r="J6" s="9"/>
      <c r="K6" s="52" t="s">
        <v>11</v>
      </c>
      <c r="L6" s="54">
        <f>L5+L4</f>
        <v>3972.9616919374284</v>
      </c>
      <c r="M6" s="53">
        <f t="shared" ref="M6:N6" si="0">M5+M4</f>
        <v>0.52907019494399543</v>
      </c>
      <c r="N6" s="53">
        <f t="shared" si="0"/>
        <v>0.8348019228735839</v>
      </c>
      <c r="O6" s="53"/>
    </row>
    <row r="7" spans="2:15">
      <c r="B7" s="9" t="s">
        <v>12</v>
      </c>
      <c r="C7" s="24">
        <v>0.9</v>
      </c>
      <c r="D7" s="45"/>
      <c r="E7" s="9"/>
      <c r="F7" s="9"/>
      <c r="H7" s="9"/>
      <c r="I7" s="9"/>
      <c r="J7" s="9"/>
      <c r="K7" s="9"/>
      <c r="L7" s="9"/>
      <c r="N7" s="9"/>
      <c r="O7" s="9"/>
    </row>
    <row r="8" spans="2:15">
      <c r="B8" s="9" t="s">
        <v>13</v>
      </c>
      <c r="C8" s="19" t="s">
        <v>14</v>
      </c>
      <c r="D8" s="44"/>
      <c r="E8" s="9"/>
      <c r="F8" s="9"/>
      <c r="H8" s="9"/>
      <c r="I8" s="9"/>
      <c r="J8" s="9"/>
      <c r="K8" s="9"/>
      <c r="L8" s="66"/>
      <c r="N8" s="9"/>
      <c r="O8" s="9"/>
    </row>
    <row r="9" spans="2:15" s="9" customFormat="1">
      <c r="B9" s="9" t="s">
        <v>15</v>
      </c>
      <c r="C9" s="19">
        <v>0</v>
      </c>
      <c r="D9" s="44" t="s">
        <v>16</v>
      </c>
    </row>
    <row r="10" spans="2:15" s="9" customFormat="1">
      <c r="B10" s="9" t="s">
        <v>17</v>
      </c>
      <c r="C10" s="13">
        <v>6.6000000000000003E-2</v>
      </c>
      <c r="D10" s="46"/>
    </row>
    <row r="11" spans="2:15" s="9" customFormat="1">
      <c r="B11" s="9" t="s">
        <v>18</v>
      </c>
      <c r="C11" s="13">
        <v>0.02</v>
      </c>
      <c r="D11" s="46"/>
      <c r="E11" s="11"/>
      <c r="F11" s="11"/>
      <c r="G11" s="11"/>
    </row>
    <row r="12" spans="2:15" s="9" customFormat="1">
      <c r="B12" s="9" t="s">
        <v>19</v>
      </c>
      <c r="C12" s="20">
        <f>PMT(C11/12,$C$13*12,-$R$71,0,1)</f>
        <v>2386.7409606245265</v>
      </c>
      <c r="D12" s="31"/>
      <c r="E12" s="5"/>
      <c r="F12" s="11"/>
      <c r="G12" s="11"/>
      <c r="H12" s="5"/>
    </row>
    <row r="13" spans="2:15" s="9" customFormat="1">
      <c r="B13" s="9" t="s">
        <v>20</v>
      </c>
      <c r="C13" s="68">
        <f>HLOOKUP($C$4,LifeExp!$C$40:$BP$41,2,FALSE)</f>
        <v>23.143680297397772</v>
      </c>
      <c r="D13" s="47"/>
    </row>
    <row r="14" spans="2:15" s="9" customFormat="1">
      <c r="B14" s="9" t="s">
        <v>21</v>
      </c>
      <c r="C14" s="40">
        <f>SUM(M30:M71)</f>
        <v>31.696889056099785</v>
      </c>
      <c r="D14" s="48"/>
    </row>
    <row r="15" spans="2:15" s="9" customFormat="1">
      <c r="B15" s="9" t="s">
        <v>22</v>
      </c>
      <c r="C15" s="21">
        <f>C14*J72+K72</f>
        <v>1586.2207313129018</v>
      </c>
      <c r="D15" s="49"/>
      <c r="E15" s="4"/>
    </row>
    <row r="16" spans="2:15" s="9" customFormat="1">
      <c r="B16" s="9" t="s">
        <v>23</v>
      </c>
      <c r="C16" s="20">
        <f>C12+C15</f>
        <v>3972.9616919374284</v>
      </c>
      <c r="D16" s="31"/>
      <c r="E16" s="4"/>
    </row>
    <row r="17" spans="1:24" s="9" customFormat="1">
      <c r="B17" s="9" t="s">
        <v>24</v>
      </c>
      <c r="C17" s="42">
        <f>VLOOKUP(($C$4-1),$B$30:$E$72,4,FALSE)</f>
        <v>4759.1669150228627</v>
      </c>
      <c r="D17" s="31"/>
      <c r="E17" s="32"/>
    </row>
    <row r="18" spans="1:24" s="9" customFormat="1">
      <c r="B18" s="9" t="s">
        <v>25</v>
      </c>
      <c r="C18" s="42">
        <f>VLOOKUP($C$4,$B$30:$C$72,2,FALSE)</f>
        <v>7509.328119226192</v>
      </c>
      <c r="D18" s="31"/>
      <c r="E18" s="32"/>
    </row>
    <row r="19" spans="1:24" s="9" customFormat="1">
      <c r="B19" s="9" t="s">
        <v>26</v>
      </c>
      <c r="C19" s="20">
        <f>VLOOKUP((C4-1),B30:R72,17,FALSE)</f>
        <v>531148.72831297363</v>
      </c>
      <c r="D19" s="31"/>
      <c r="E19" s="32"/>
    </row>
    <row r="20" spans="1:24" s="9" customFormat="1">
      <c r="B20" s="9" t="s">
        <v>27</v>
      </c>
      <c r="C20" s="20">
        <f>SUM(P30:P71)</f>
        <v>92202.061172198592</v>
      </c>
      <c r="D20" s="31"/>
      <c r="E20" s="32"/>
      <c r="N20" s="15"/>
    </row>
    <row r="21" spans="1:24" s="9" customFormat="1">
      <c r="B21" s="9" t="s">
        <v>28</v>
      </c>
      <c r="C21" s="67">
        <f>C19/C20-1</f>
        <v>4.7607034111850126</v>
      </c>
      <c r="D21" s="31"/>
      <c r="E21" s="32"/>
    </row>
    <row r="22" spans="1:24" s="9" customFormat="1">
      <c r="C22" s="31"/>
      <c r="D22" s="31"/>
      <c r="E22" s="32"/>
    </row>
    <row r="23" spans="1:24" s="9" customFormat="1">
      <c r="E23" s="4"/>
    </row>
    <row r="24" spans="1:24" s="9" customFormat="1" hidden="1">
      <c r="B24" s="9" t="s">
        <v>29</v>
      </c>
      <c r="C24" s="22">
        <f>SUM(S30:S71)</f>
        <v>43.583222452137207</v>
      </c>
      <c r="D24" s="22"/>
    </row>
    <row r="25" spans="1:24" s="9" customFormat="1" hidden="1">
      <c r="B25" s="9" t="s">
        <v>30</v>
      </c>
      <c r="C25" s="21">
        <f>C24*J72+K72</f>
        <v>1857.2673882735112</v>
      </c>
      <c r="D25" s="21"/>
    </row>
    <row r="26" spans="1:24" s="9" customFormat="1" hidden="1">
      <c r="C26" s="23">
        <f>C16/C25-1</f>
        <v>1.1391436241340758</v>
      </c>
      <c r="D26" s="23"/>
    </row>
    <row r="27" spans="1:24" s="9" customFormat="1">
      <c r="C27" s="23"/>
      <c r="D27" s="23"/>
      <c r="F27" s="25" t="s">
        <v>31</v>
      </c>
      <c r="G27" s="25"/>
    </row>
    <row r="28" spans="1:24" ht="15.75" thickBot="1">
      <c r="A28" s="9"/>
      <c r="B28" s="9"/>
      <c r="C28" s="9"/>
      <c r="E28" s="9"/>
      <c r="F28" s="10">
        <v>2564.56873292</v>
      </c>
      <c r="G28" s="63"/>
      <c r="H28" s="25" t="s">
        <v>32</v>
      </c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27" customFormat="1" ht="33" customHeight="1" thickBot="1">
      <c r="A29" s="27" t="s">
        <v>33</v>
      </c>
      <c r="B29" s="27" t="s">
        <v>34</v>
      </c>
      <c r="C29" s="28" t="s">
        <v>35</v>
      </c>
      <c r="D29" s="69" t="s">
        <v>36</v>
      </c>
      <c r="E29" s="28" t="s">
        <v>37</v>
      </c>
      <c r="F29" s="29">
        <v>2789.1092664500002</v>
      </c>
      <c r="G29" s="64">
        <f>F29/F28-1</f>
        <v>8.7554890086466886E-2</v>
      </c>
      <c r="H29" s="30">
        <v>3.4116580245174132E-2</v>
      </c>
      <c r="I29" s="28" t="s">
        <v>38</v>
      </c>
      <c r="J29" s="28" t="s">
        <v>39</v>
      </c>
      <c r="K29" s="28" t="s">
        <v>40</v>
      </c>
      <c r="L29" s="28" t="s">
        <v>41</v>
      </c>
      <c r="M29" s="28" t="s">
        <v>42</v>
      </c>
      <c r="N29" s="28" t="s">
        <v>43</v>
      </c>
      <c r="O29" s="28" t="s">
        <v>44</v>
      </c>
      <c r="P29" s="28" t="s">
        <v>45</v>
      </c>
      <c r="Q29" s="28" t="s">
        <v>46</v>
      </c>
      <c r="R29" s="28" t="s">
        <v>47</v>
      </c>
      <c r="S29" s="28" t="s">
        <v>48</v>
      </c>
      <c r="V29" s="51" t="s">
        <v>49</v>
      </c>
      <c r="W29" s="51" t="s">
        <v>50</v>
      </c>
      <c r="X29" s="51" t="s">
        <v>51</v>
      </c>
    </row>
    <row r="30" spans="1:24" ht="15.75" thickBot="1">
      <c r="A30" s="9">
        <f>C5</f>
        <v>23</v>
      </c>
      <c r="B30" s="9">
        <v>2018</v>
      </c>
      <c r="C30" s="3">
        <v>1306.7752499999999</v>
      </c>
      <c r="D30" s="50">
        <f t="shared" ref="D30:D72" si="1">IF($C$2=1,$C$6,IF($C$2=2,V30,IF($C$2=3,W30,IF($C$2=4,X30,1))))</f>
        <v>0.47651830315589905</v>
      </c>
      <c r="E30" s="9">
        <f>C30*D30</f>
        <v>622.70232473612577</v>
      </c>
      <c r="F30" s="6">
        <v>3040</v>
      </c>
      <c r="G30" s="64">
        <f t="shared" ref="G30:G82" si="2">F30/F29-1</f>
        <v>8.9953712666601904E-2</v>
      </c>
      <c r="H30" s="8">
        <v>2.923100388809502E-2</v>
      </c>
      <c r="I30" s="1">
        <f t="shared" ref="I30:I71" si="3">0.2*H29+(F29/F28-1)*0.8</f>
        <v>7.6867228118208342E-2</v>
      </c>
      <c r="J30" s="9">
        <v>6.1609999999999996</v>
      </c>
      <c r="K30" s="15">
        <v>175.43899999999999</v>
      </c>
      <c r="L30" s="15">
        <f>E30*IF($C$8="Jah",0.16,0.2)*12</f>
        <v>1195.5884634933614</v>
      </c>
      <c r="M30" s="14">
        <f t="shared" ref="M30:M72" si="4">E30*IF($C$8="Jah",0.16,0.2)/(C30*$C$7*0.2)</f>
        <v>0.42357182502746588</v>
      </c>
      <c r="N30" s="14"/>
      <c r="O30" s="12">
        <f>IF($C$9=0,H30+$C$10,IF($C$9=1,G30,0))</f>
        <v>9.5231003888095023E-2</v>
      </c>
      <c r="P30" s="15">
        <f t="shared" ref="P30:P72" si="5">E30*0.06*12</f>
        <v>448.34567381001051</v>
      </c>
      <c r="Q30" s="15">
        <f t="shared" ref="Q30:Q72" si="6">P30*(1+$O30/2)</f>
        <v>469.69387811291642</v>
      </c>
      <c r="R30" s="16">
        <f>Q30</f>
        <v>469.69387811291642</v>
      </c>
      <c r="S30" s="14">
        <f t="shared" ref="S30:S72" si="7">E30*0.22/(C30*$C$7*0.2)</f>
        <v>0.58241125941276561</v>
      </c>
      <c r="T30" s="9"/>
      <c r="U30" s="9"/>
      <c r="V30" s="9">
        <f>VLOOKUP($A30,WageProp_2015!$A:$D,2,FALSE)</f>
        <v>0.43733030557632446</v>
      </c>
      <c r="W30" s="9">
        <f>VLOOKUP($A30,WageProp_2015!$A:$D,3,FALSE)</f>
        <v>0.51268720626831055</v>
      </c>
      <c r="X30" s="9">
        <f>VLOOKUP($A30,WageProp_2015!$A:$D,4,FALSE)</f>
        <v>0.47651830315589905</v>
      </c>
    </row>
    <row r="31" spans="1:24" ht="15.75" thickBot="1">
      <c r="A31" s="9">
        <f>A30+1</f>
        <v>24</v>
      </c>
      <c r="B31" s="9">
        <v>2019</v>
      </c>
      <c r="C31" s="3">
        <v>1381.2614392499997</v>
      </c>
      <c r="D31" s="50">
        <f t="shared" si="1"/>
        <v>0.56755906343460083</v>
      </c>
      <c r="E31" s="9">
        <f t="shared" ref="E31:E72" si="8">C31*D31</f>
        <v>783.94744881905865</v>
      </c>
      <c r="F31" s="6">
        <v>3250</v>
      </c>
      <c r="G31" s="64">
        <f t="shared" si="2"/>
        <v>6.9078947368421018E-2</v>
      </c>
      <c r="H31" s="8">
        <v>2.306178983197843E-2</v>
      </c>
      <c r="I31" s="1">
        <f t="shared" si="3"/>
        <v>7.7809170910900533E-2</v>
      </c>
      <c r="J31" s="14">
        <f>((I31*0.9)+1)*J30</f>
        <v>6.5924440717838522</v>
      </c>
      <c r="K31" s="15">
        <f>((I31*1.1)+1)*K30</f>
        <v>190.45483944898123</v>
      </c>
      <c r="L31" s="15">
        <f t="shared" ref="L31:L72" si="9">E31*IF($C$8="Jah",0.16,0.2)*12</f>
        <v>1505.1791017325927</v>
      </c>
      <c r="M31" s="14">
        <f t="shared" si="4"/>
        <v>0.50449694527520073</v>
      </c>
      <c r="N31" s="14"/>
      <c r="O31" s="12">
        <f t="shared" ref="O31:O72" si="10">IF($C$9=0,H31+$C$10,IF($C$9=1,G31,0))</f>
        <v>8.9061789831978433E-2</v>
      </c>
      <c r="P31" s="15">
        <f t="shared" si="5"/>
        <v>564.44216314972221</v>
      </c>
      <c r="Q31" s="15">
        <f t="shared" si="6"/>
        <v>589.57727780309619</v>
      </c>
      <c r="R31" s="16">
        <f t="shared" ref="R31:R72" si="11">R30*(1+$O31)+Q31</f>
        <v>1101.102933373872</v>
      </c>
      <c r="S31" s="14">
        <f t="shared" si="7"/>
        <v>0.69368329975340104</v>
      </c>
      <c r="T31" s="9"/>
      <c r="U31" s="9"/>
      <c r="V31" s="9">
        <f>VLOOKUP($A31,WageProp_2015!$A:$D,2,FALSE)</f>
        <v>0.51697957515716553</v>
      </c>
      <c r="W31" s="9">
        <f>VLOOKUP($A31,WageProp_2015!$A:$D,3,FALSE)</f>
        <v>0.61207425594329834</v>
      </c>
      <c r="X31" s="9">
        <f>VLOOKUP($A31,WageProp_2015!$A:$D,4,FALSE)</f>
        <v>0.56755906343460083</v>
      </c>
    </row>
    <row r="32" spans="1:24" ht="15.75" thickBot="1">
      <c r="A32" s="9">
        <f t="shared" ref="A32:A82" si="12">A31+1</f>
        <v>25</v>
      </c>
      <c r="B32" s="9">
        <v>2020</v>
      </c>
      <c r="C32" s="3">
        <v>1457.2308184087497</v>
      </c>
      <c r="D32" s="50">
        <f t="shared" si="1"/>
        <v>0.6644253134727478</v>
      </c>
      <c r="E32" s="9">
        <f t="shared" si="8"/>
        <v>968.22104332338233</v>
      </c>
      <c r="F32" s="6">
        <v>3445</v>
      </c>
      <c r="G32" s="64">
        <f t="shared" si="2"/>
        <v>6.0000000000000053E-2</v>
      </c>
      <c r="H32" s="8">
        <v>2.4E-2</v>
      </c>
      <c r="I32" s="1">
        <f t="shared" si="3"/>
        <v>5.9875515861132503E-2</v>
      </c>
      <c r="J32" s="14">
        <f t="shared" ref="J32:J72" si="13">((I32*0.9)+1)*J31</f>
        <v>6.9476974624092023</v>
      </c>
      <c r="K32" s="15">
        <f t="shared" ref="K32:K72" si="14">((I32*1.1)+1)*K31</f>
        <v>202.99877938526384</v>
      </c>
      <c r="L32" s="15">
        <f t="shared" si="9"/>
        <v>1858.9844031808941</v>
      </c>
      <c r="M32" s="14">
        <f t="shared" si="4"/>
        <v>0.59060027864244258</v>
      </c>
      <c r="N32" s="14"/>
      <c r="O32" s="12">
        <f t="shared" si="10"/>
        <v>0.09</v>
      </c>
      <c r="P32" s="15">
        <f t="shared" si="5"/>
        <v>697.11915119283526</v>
      </c>
      <c r="Q32" s="15">
        <f t="shared" si="6"/>
        <v>728.48951299651276</v>
      </c>
      <c r="R32" s="16">
        <f t="shared" si="11"/>
        <v>1928.6917103740334</v>
      </c>
      <c r="S32" s="14">
        <f t="shared" si="7"/>
        <v>0.81207538313335847</v>
      </c>
      <c r="T32" s="9"/>
      <c r="U32" s="9"/>
      <c r="V32" s="9">
        <f>VLOOKUP($A32,WageProp_2015!$A:$D,2,FALSE)</f>
        <v>0.59882086515426636</v>
      </c>
      <c r="W32" s="9">
        <f>VLOOKUP($A32,WageProp_2015!$A:$D,3,FALSE)</f>
        <v>0.72015595436096191</v>
      </c>
      <c r="X32" s="9">
        <f>VLOOKUP($A32,WageProp_2015!$A:$D,4,FALSE)</f>
        <v>0.6644253134727478</v>
      </c>
    </row>
    <row r="33" spans="1:55" ht="15.75" thickBot="1">
      <c r="A33" s="9">
        <f t="shared" si="12"/>
        <v>26</v>
      </c>
      <c r="B33" s="9">
        <v>2021</v>
      </c>
      <c r="C33" s="3">
        <v>1540.2929750580483</v>
      </c>
      <c r="D33" s="50">
        <f t="shared" si="1"/>
        <v>0.72620618343353271</v>
      </c>
      <c r="E33" s="9">
        <f t="shared" si="8"/>
        <v>1118.570282786387</v>
      </c>
      <c r="F33" s="6">
        <v>3640</v>
      </c>
      <c r="G33" s="64">
        <f t="shared" si="2"/>
        <v>5.6603773584905648E-2</v>
      </c>
      <c r="H33" s="8">
        <v>2.01E-2</v>
      </c>
      <c r="I33" s="1">
        <f t="shared" si="3"/>
        <v>5.2800000000000041E-2</v>
      </c>
      <c r="J33" s="14">
        <f t="shared" si="13"/>
        <v>7.2778520458228879</v>
      </c>
      <c r="K33" s="15">
        <f t="shared" si="14"/>
        <v>214.78894849195999</v>
      </c>
      <c r="L33" s="15">
        <f t="shared" si="9"/>
        <v>2147.6549429498632</v>
      </c>
      <c r="M33" s="14">
        <f t="shared" si="4"/>
        <v>0.64551660749647366</v>
      </c>
      <c r="N33" s="14"/>
      <c r="O33" s="12">
        <f t="shared" si="10"/>
        <v>8.610000000000001E-2</v>
      </c>
      <c r="P33" s="15">
        <f t="shared" si="5"/>
        <v>805.37060360619853</v>
      </c>
      <c r="Q33" s="15">
        <f t="shared" si="6"/>
        <v>840.04180809144543</v>
      </c>
      <c r="R33" s="16">
        <f t="shared" si="11"/>
        <v>2934.7938747286835</v>
      </c>
      <c r="S33" s="14">
        <f t="shared" si="7"/>
        <v>0.88758533530765116</v>
      </c>
      <c r="T33" s="9"/>
      <c r="U33" s="9"/>
      <c r="V33" s="9">
        <f>VLOOKUP($A33,WageProp_2015!$A:$D,2,FALSE)</f>
        <v>0.6516730785369873</v>
      </c>
      <c r="W33" s="9">
        <f>VLOOKUP($A33,WageProp_2015!$A:$D,3,FALSE)</f>
        <v>0.78950411081314087</v>
      </c>
      <c r="X33" s="9">
        <f>VLOOKUP($A33,WageProp_2015!$A:$D,4,FALSE)</f>
        <v>0.72620618343353271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.75" thickBot="1">
      <c r="A34" s="9">
        <f t="shared" si="12"/>
        <v>27</v>
      </c>
      <c r="B34" s="9">
        <v>2022</v>
      </c>
      <c r="C34" s="3">
        <v>1628.0896746363569</v>
      </c>
      <c r="D34" s="50">
        <f t="shared" si="1"/>
        <v>0.77284902334213257</v>
      </c>
      <c r="E34" s="9">
        <f t="shared" si="8"/>
        <v>1258.2675149561187</v>
      </c>
      <c r="F34" s="6">
        <v>3840</v>
      </c>
      <c r="G34" s="64">
        <f t="shared" si="2"/>
        <v>5.4945054945054972E-2</v>
      </c>
      <c r="H34" s="8">
        <v>1.9599999999999999E-2</v>
      </c>
      <c r="I34" s="1">
        <f t="shared" si="3"/>
        <v>4.9303018867924521E-2</v>
      </c>
      <c r="J34" s="14">
        <f t="shared" si="13"/>
        <v>7.6007901148827406</v>
      </c>
      <c r="K34" s="15">
        <f t="shared" si="14"/>
        <v>226.43766643009283</v>
      </c>
      <c r="L34" s="15">
        <f t="shared" si="9"/>
        <v>2415.8736287157481</v>
      </c>
      <c r="M34" s="14">
        <f t="shared" si="4"/>
        <v>0.68697690963745106</v>
      </c>
      <c r="N34" s="14"/>
      <c r="O34" s="12">
        <f t="shared" si="10"/>
        <v>8.5600000000000009E-2</v>
      </c>
      <c r="P34" s="15">
        <f t="shared" si="5"/>
        <v>905.95261076840529</v>
      </c>
      <c r="Q34" s="15">
        <f t="shared" si="6"/>
        <v>944.72738250929297</v>
      </c>
      <c r="R34" s="16">
        <f t="shared" si="11"/>
        <v>4130.739612914751</v>
      </c>
      <c r="S34" s="14">
        <f t="shared" si="7"/>
        <v>0.94459325075149525</v>
      </c>
      <c r="T34" s="9"/>
      <c r="U34" s="9"/>
      <c r="V34" s="9">
        <f>VLOOKUP($A34,WageProp_2015!$A:$D,2,FALSE)</f>
        <v>0.68325549364089966</v>
      </c>
      <c r="W34" s="9">
        <f>VLOOKUP($A34,WageProp_2015!$A:$D,3,FALSE)</f>
        <v>0.84885305166244507</v>
      </c>
      <c r="X34" s="9">
        <f>VLOOKUP($A34,WageProp_2015!$A:$D,4,FALSE)</f>
        <v>0.77284902334213257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s="26" customFormat="1" ht="15.75" thickBot="1">
      <c r="A35" s="9">
        <f t="shared" si="12"/>
        <v>28</v>
      </c>
      <c r="B35" s="9">
        <v>2023</v>
      </c>
      <c r="C35" s="2">
        <v>1712.6465866973485</v>
      </c>
      <c r="D35" s="50">
        <f t="shared" si="1"/>
        <v>0.81143683195114136</v>
      </c>
      <c r="E35" s="9">
        <f t="shared" si="8"/>
        <v>1389.7045205616323</v>
      </c>
      <c r="F35" s="10">
        <v>4027.3169877473556</v>
      </c>
      <c r="G35" s="64">
        <f t="shared" si="2"/>
        <v>4.8780465559207231E-2</v>
      </c>
      <c r="H35" s="7">
        <v>0.02</v>
      </c>
      <c r="I35" s="1">
        <f t="shared" si="3"/>
        <v>4.787604395604398E-2</v>
      </c>
      <c r="J35" s="14">
        <f t="shared" si="13"/>
        <v>7.9282963003594524</v>
      </c>
      <c r="K35" s="15">
        <f t="shared" si="14"/>
        <v>238.36270006853508</v>
      </c>
      <c r="L35" s="15">
        <f t="shared" si="9"/>
        <v>2668.2326794783339</v>
      </c>
      <c r="M35" s="14">
        <f t="shared" si="4"/>
        <v>0.72127718395657003</v>
      </c>
      <c r="N35" s="14"/>
      <c r="O35" s="12">
        <f t="shared" si="10"/>
        <v>8.6000000000000007E-2</v>
      </c>
      <c r="P35" s="15">
        <f t="shared" si="5"/>
        <v>1000.5872548043752</v>
      </c>
      <c r="Q35" s="15">
        <f t="shared" si="6"/>
        <v>1043.6125067609632</v>
      </c>
      <c r="R35" s="16">
        <f t="shared" si="11"/>
        <v>5529.5957263863838</v>
      </c>
      <c r="S35" s="14">
        <f t="shared" si="7"/>
        <v>0.99175612794028389</v>
      </c>
      <c r="T35" s="18"/>
      <c r="U35" s="18"/>
      <c r="V35" s="9">
        <f>VLOOKUP($A35,WageProp_2015!$A:$D,2,FALSE)</f>
        <v>0.70420217514038086</v>
      </c>
      <c r="W35" s="9">
        <f>VLOOKUP($A35,WageProp_2015!$A:$D,3,FALSE)</f>
        <v>0.90144646167755127</v>
      </c>
      <c r="X35" s="9">
        <f>VLOOKUP($A35,WageProp_2015!$A:$D,4,FALSE)</f>
        <v>0.81143683195114136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5.75" thickBot="1">
      <c r="A36" s="9">
        <f t="shared" si="12"/>
        <v>29</v>
      </c>
      <c r="B36" s="9">
        <v>2024</v>
      </c>
      <c r="C36" s="2">
        <v>1800.0167550779611</v>
      </c>
      <c r="D36" s="50">
        <f t="shared" si="1"/>
        <v>0.84282565116882324</v>
      </c>
      <c r="E36" s="9">
        <f t="shared" si="8"/>
        <v>1517.1002937133749</v>
      </c>
      <c r="F36" s="10">
        <v>4220.0710864258908</v>
      </c>
      <c r="G36" s="64">
        <f t="shared" si="2"/>
        <v>4.7861665536874209E-2</v>
      </c>
      <c r="H36" s="7">
        <v>2.0000012741172191E-2</v>
      </c>
      <c r="I36" s="1">
        <f t="shared" si="3"/>
        <v>4.3024372447365788E-2</v>
      </c>
      <c r="J36" s="14">
        <f t="shared" si="13"/>
        <v>8.2352952759692162</v>
      </c>
      <c r="K36" s="15">
        <f t="shared" si="14"/>
        <v>249.64364621237434</v>
      </c>
      <c r="L36" s="15">
        <f t="shared" si="9"/>
        <v>2912.83256392968</v>
      </c>
      <c r="M36" s="14">
        <f t="shared" si="4"/>
        <v>0.7491783565945096</v>
      </c>
      <c r="N36" s="14"/>
      <c r="O36" s="12">
        <f t="shared" si="10"/>
        <v>8.6000012741172194E-2</v>
      </c>
      <c r="P36" s="15">
        <f t="shared" si="5"/>
        <v>1092.3122114736298</v>
      </c>
      <c r="Q36" s="15">
        <f t="shared" si="6"/>
        <v>1139.2816435256648</v>
      </c>
      <c r="R36" s="16">
        <f t="shared" si="11"/>
        <v>7144.4226728348085</v>
      </c>
      <c r="S36" s="14">
        <f t="shared" si="7"/>
        <v>1.0301202403174508</v>
      </c>
      <c r="T36" s="9"/>
      <c r="U36" s="9"/>
      <c r="V36" s="9">
        <f>VLOOKUP($A36,WageProp_2015!$A:$D,2,FALSE)</f>
        <v>0.71169555187225342</v>
      </c>
      <c r="W36" s="9">
        <f>VLOOKUP($A36,WageProp_2015!$A:$D,3,FALSE)</f>
        <v>0.95281136035919189</v>
      </c>
      <c r="X36" s="9">
        <f>VLOOKUP($A36,WageProp_2015!$A:$D,4,FALSE)</f>
        <v>0.84282565116882324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.75" thickBot="1">
      <c r="A37" s="9">
        <f t="shared" si="12"/>
        <v>30</v>
      </c>
      <c r="B37" s="9">
        <v>2025</v>
      </c>
      <c r="C37" s="2">
        <v>1889.7923716971429</v>
      </c>
      <c r="D37" s="50">
        <f t="shared" si="1"/>
        <v>0.8612293004989624</v>
      </c>
      <c r="E37" s="9">
        <f t="shared" si="8"/>
        <v>1627.5445623650055</v>
      </c>
      <c r="F37" s="10">
        <v>4417.2549784746352</v>
      </c>
      <c r="G37" s="64">
        <f t="shared" si="2"/>
        <v>4.6725253677123657E-2</v>
      </c>
      <c r="H37" s="7">
        <v>2.0000018929741535E-2</v>
      </c>
      <c r="I37" s="1">
        <f t="shared" si="3"/>
        <v>4.2289334977733808E-2</v>
      </c>
      <c r="J37" s="14">
        <f t="shared" si="13"/>
        <v>8.5487339204786252</v>
      </c>
      <c r="K37" s="15">
        <f t="shared" si="14"/>
        <v>261.25663637008608</v>
      </c>
      <c r="L37" s="15">
        <f t="shared" si="9"/>
        <v>3124.8855597408101</v>
      </c>
      <c r="M37" s="14">
        <f t="shared" si="4"/>
        <v>0.76553715599907757</v>
      </c>
      <c r="N37" s="14"/>
      <c r="O37" s="12">
        <f t="shared" si="10"/>
        <v>8.6000018929741545E-2</v>
      </c>
      <c r="P37" s="15">
        <f t="shared" si="5"/>
        <v>1171.8320849028039</v>
      </c>
      <c r="Q37" s="15">
        <f t="shared" si="6"/>
        <v>1222.2208756448638</v>
      </c>
      <c r="R37" s="16">
        <f t="shared" si="11"/>
        <v>8981.0640335855405</v>
      </c>
      <c r="S37" s="14">
        <f t="shared" si="7"/>
        <v>1.0526135894987316</v>
      </c>
      <c r="T37" s="9"/>
      <c r="U37" s="9"/>
      <c r="V37" s="9">
        <f>VLOOKUP($A37,WageProp_2015!$A:$D,2,FALSE)</f>
        <v>0.73601424694061279</v>
      </c>
      <c r="W37" s="9">
        <f>VLOOKUP($A37,WageProp_2015!$A:$D,3,FALSE)</f>
        <v>0.96969825029373169</v>
      </c>
      <c r="X37" s="9">
        <f>VLOOKUP($A37,WageProp_2015!$A:$D,4,FALSE)</f>
        <v>0.8612293004989624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.75" thickBot="1">
      <c r="A38" s="9">
        <f t="shared" si="12"/>
        <v>31</v>
      </c>
      <c r="B38" s="9">
        <v>2026</v>
      </c>
      <c r="C38" s="2">
        <v>1981.5935336088546</v>
      </c>
      <c r="D38" s="50">
        <f t="shared" si="1"/>
        <v>0.88949114084243774</v>
      </c>
      <c r="E38" s="9">
        <f t="shared" si="8"/>
        <v>1762.6098928957376</v>
      </c>
      <c r="F38" s="10">
        <v>4617.9381505835036</v>
      </c>
      <c r="G38" s="64">
        <f t="shared" si="2"/>
        <v>4.5431647728465085E-2</v>
      </c>
      <c r="H38" s="7">
        <v>2.0000026331755853E-2</v>
      </c>
      <c r="I38" s="1">
        <f t="shared" si="3"/>
        <v>4.1380206727647237E-2</v>
      </c>
      <c r="J38" s="14">
        <f t="shared" si="13"/>
        <v>8.8671074596787758</v>
      </c>
      <c r="K38" s="15">
        <f t="shared" si="14"/>
        <v>273.14857535424642</v>
      </c>
      <c r="L38" s="15">
        <f t="shared" si="9"/>
        <v>3384.2109943598161</v>
      </c>
      <c r="M38" s="14">
        <f t="shared" si="4"/>
        <v>0.79065879185994459</v>
      </c>
      <c r="N38" s="14"/>
      <c r="O38" s="12">
        <f t="shared" si="10"/>
        <v>8.6000026331755852E-2</v>
      </c>
      <c r="P38" s="15">
        <f t="shared" si="5"/>
        <v>1269.0791228849312</v>
      </c>
      <c r="Q38" s="15">
        <f t="shared" si="6"/>
        <v>1323.6495418775239</v>
      </c>
      <c r="R38" s="16">
        <f t="shared" si="11"/>
        <v>11077.085318838606</v>
      </c>
      <c r="S38" s="14">
        <f t="shared" si="7"/>
        <v>1.0871558388074238</v>
      </c>
      <c r="T38" s="9"/>
      <c r="U38" s="9"/>
      <c r="V38" s="9">
        <f>VLOOKUP($A38,WageProp_2015!$A:$D,2,FALSE)</f>
        <v>0.75175750255584717</v>
      </c>
      <c r="W38" s="9">
        <f>VLOOKUP($A38,WageProp_2015!$A:$D,3,FALSE)</f>
        <v>1.0093933343887329</v>
      </c>
      <c r="X38" s="9">
        <f>VLOOKUP($A38,WageProp_2015!$A:$D,4,FALSE)</f>
        <v>0.88949114084243774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.75" thickBot="1">
      <c r="A39" s="9">
        <f t="shared" si="12"/>
        <v>32</v>
      </c>
      <c r="B39" s="9">
        <v>2027</v>
      </c>
      <c r="C39" s="2">
        <v>2075.0906766230064</v>
      </c>
      <c r="D39" s="50">
        <f t="shared" si="1"/>
        <v>0.91497921943664551</v>
      </c>
      <c r="E39" s="9">
        <f t="shared" si="8"/>
        <v>1898.664847556779</v>
      </c>
      <c r="F39" s="10">
        <v>4821.3179535833406</v>
      </c>
      <c r="G39" s="64">
        <f t="shared" si="2"/>
        <v>4.4041257454723315E-2</v>
      </c>
      <c r="H39" s="7">
        <v>2.0000034947215143E-2</v>
      </c>
      <c r="I39" s="1">
        <f t="shared" si="3"/>
        <v>4.0345323449123241E-2</v>
      </c>
      <c r="J39" s="14">
        <f t="shared" si="13"/>
        <v>9.1890791463457617</v>
      </c>
      <c r="K39" s="15">
        <f t="shared" si="14"/>
        <v>285.27086973881416</v>
      </c>
      <c r="L39" s="15">
        <f t="shared" si="9"/>
        <v>3645.4365073090157</v>
      </c>
      <c r="M39" s="14">
        <f t="shared" si="4"/>
        <v>0.81331486172146261</v>
      </c>
      <c r="N39" s="14"/>
      <c r="O39" s="12">
        <f t="shared" si="10"/>
        <v>8.6000034947215143E-2</v>
      </c>
      <c r="P39" s="15">
        <f t="shared" si="5"/>
        <v>1367.0386902408809</v>
      </c>
      <c r="Q39" s="15">
        <f t="shared" si="6"/>
        <v>1425.8213778083364</v>
      </c>
      <c r="R39" s="16">
        <f t="shared" si="11"/>
        <v>13455.536421180346</v>
      </c>
      <c r="S39" s="14">
        <f t="shared" si="7"/>
        <v>1.1183079348670111</v>
      </c>
      <c r="T39" s="9"/>
      <c r="U39" s="9"/>
      <c r="V39" s="9">
        <f>VLOOKUP($A39,WageProp_2015!$A:$D,2,FALSE)</f>
        <v>0.74760305881500244</v>
      </c>
      <c r="W39" s="9">
        <f>VLOOKUP($A39,WageProp_2015!$A:$D,3,FALSE)</f>
        <v>1.0591983795166016</v>
      </c>
      <c r="X39" s="9">
        <f>VLOOKUP($A39,WageProp_2015!$A:$D,4,FALSE)</f>
        <v>0.91497921943664551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.75" thickBot="1">
      <c r="A40" s="9">
        <f t="shared" si="12"/>
        <v>33</v>
      </c>
      <c r="B40" s="9">
        <v>2028</v>
      </c>
      <c r="C40" s="2">
        <v>2170.0297020558833</v>
      </c>
      <c r="D40" s="50">
        <f t="shared" si="1"/>
        <v>0.94209128618240356</v>
      </c>
      <c r="E40" s="9">
        <f t="shared" si="8"/>
        <v>2044.3660730638451</v>
      </c>
      <c r="F40" s="10">
        <v>5026.7759719394689</v>
      </c>
      <c r="G40" s="64">
        <f t="shared" si="2"/>
        <v>4.2614492620928646E-2</v>
      </c>
      <c r="H40" s="7">
        <v>2.0000044776119403E-2</v>
      </c>
      <c r="I40" s="1">
        <f t="shared" si="3"/>
        <v>3.923301295322168E-2</v>
      </c>
      <c r="J40" s="14">
        <f t="shared" si="13"/>
        <v>9.5135428814048488</v>
      </c>
      <c r="K40" s="15">
        <f t="shared" si="14"/>
        <v>297.58210903921781</v>
      </c>
      <c r="L40" s="15">
        <f t="shared" si="9"/>
        <v>3925.1828602825826</v>
      </c>
      <c r="M40" s="14">
        <f t="shared" si="4"/>
        <v>0.83741447660658097</v>
      </c>
      <c r="N40" s="14"/>
      <c r="O40" s="12">
        <f t="shared" si="10"/>
        <v>8.6000044776119403E-2</v>
      </c>
      <c r="P40" s="15">
        <f t="shared" si="5"/>
        <v>1471.9435726059685</v>
      </c>
      <c r="Q40" s="15">
        <f t="shared" si="6"/>
        <v>1535.2371791819858</v>
      </c>
      <c r="R40" s="16">
        <f t="shared" si="11"/>
        <v>16147.950335070547</v>
      </c>
      <c r="S40" s="14">
        <f t="shared" si="7"/>
        <v>1.1514449053340488</v>
      </c>
      <c r="T40" s="9"/>
      <c r="U40" s="9"/>
      <c r="V40" s="9">
        <f>VLOOKUP($A40,WageProp_2015!$A:$D,2,FALSE)</f>
        <v>0.78490763902664185</v>
      </c>
      <c r="W40" s="9">
        <f>VLOOKUP($A40,WageProp_2015!$A:$D,3,FALSE)</f>
        <v>1.085506796836853</v>
      </c>
      <c r="X40" s="9">
        <f>VLOOKUP($A40,WageProp_2015!$A:$D,4,FALSE)</f>
        <v>0.94209128618240356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.75" thickBot="1">
      <c r="A41" s="9">
        <f t="shared" si="12"/>
        <v>34</v>
      </c>
      <c r="B41" s="9">
        <v>2029</v>
      </c>
      <c r="C41" s="2">
        <v>2266.2592295155778</v>
      </c>
      <c r="D41" s="50">
        <f t="shared" si="1"/>
        <v>0.950367271900177</v>
      </c>
      <c r="E41" s="9">
        <f t="shared" si="8"/>
        <v>2153.7786013733166</v>
      </c>
      <c r="F41" s="10">
        <v>5234.2451002800726</v>
      </c>
      <c r="G41" s="64">
        <f t="shared" si="2"/>
        <v>4.1272801791593761E-2</v>
      </c>
      <c r="H41" s="7">
        <v>2.0000055818468632E-2</v>
      </c>
      <c r="I41" s="1">
        <f t="shared" si="3"/>
        <v>3.8091603051966794E-2</v>
      </c>
      <c r="J41" s="14">
        <f t="shared" si="13"/>
        <v>9.8396903705555516</v>
      </c>
      <c r="K41" s="15">
        <f t="shared" si="14"/>
        <v>310.05102656939573</v>
      </c>
      <c r="L41" s="15">
        <f t="shared" si="9"/>
        <v>4135.2549146367683</v>
      </c>
      <c r="M41" s="14">
        <f t="shared" si="4"/>
        <v>0.84477090835571278</v>
      </c>
      <c r="N41" s="14"/>
      <c r="O41" s="12">
        <f t="shared" si="10"/>
        <v>8.6000055818468632E-2</v>
      </c>
      <c r="P41" s="15">
        <f t="shared" si="5"/>
        <v>1550.7205929887878</v>
      </c>
      <c r="Q41" s="15">
        <f t="shared" si="6"/>
        <v>1617.4016217667302</v>
      </c>
      <c r="R41" s="16">
        <f t="shared" si="11"/>
        <v>19154.076587007203</v>
      </c>
      <c r="S41" s="14">
        <f t="shared" si="7"/>
        <v>1.161559998989105</v>
      </c>
      <c r="T41" s="9"/>
      <c r="U41" s="9"/>
      <c r="V41" s="9">
        <f>VLOOKUP($A41,WageProp_2015!$A:$D,2,FALSE)</f>
        <v>0.77707153558731079</v>
      </c>
      <c r="W41" s="9">
        <f>VLOOKUP($A41,WageProp_2015!$A:$D,3,FALSE)</f>
        <v>1.1033926010131836</v>
      </c>
      <c r="X41" s="9">
        <f>VLOOKUP($A41,WageProp_2015!$A:$D,4,FALSE)</f>
        <v>0.950367271900177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.75" thickBot="1">
      <c r="A42" s="9">
        <f t="shared" si="12"/>
        <v>35</v>
      </c>
      <c r="B42" s="9">
        <v>2030</v>
      </c>
      <c r="C42" s="2">
        <v>2363.7594714236197</v>
      </c>
      <c r="D42" s="50">
        <f t="shared" si="1"/>
        <v>0.97240382432937622</v>
      </c>
      <c r="E42" s="9">
        <f t="shared" si="8"/>
        <v>2298.5287498071129</v>
      </c>
      <c r="F42" s="10">
        <v>5440.6135717288053</v>
      </c>
      <c r="G42" s="64">
        <f t="shared" si="2"/>
        <v>3.9426596862590646E-2</v>
      </c>
      <c r="H42" s="7">
        <v>2.0000068074262831E-2</v>
      </c>
      <c r="I42" s="1">
        <f t="shared" si="3"/>
        <v>3.701825259696874E-2</v>
      </c>
      <c r="J42" s="14">
        <f t="shared" si="13"/>
        <v>10.16751369980742</v>
      </c>
      <c r="K42" s="15">
        <f t="shared" si="14"/>
        <v>322.67632851084062</v>
      </c>
      <c r="L42" s="15">
        <f t="shared" si="9"/>
        <v>4413.1751996296571</v>
      </c>
      <c r="M42" s="14">
        <f t="shared" si="4"/>
        <v>0.86435895495944548</v>
      </c>
      <c r="N42" s="14"/>
      <c r="O42" s="12">
        <f t="shared" si="10"/>
        <v>8.6000068074262831E-2</v>
      </c>
      <c r="P42" s="15">
        <f t="shared" si="5"/>
        <v>1654.9406998611214</v>
      </c>
      <c r="Q42" s="15">
        <f t="shared" si="6"/>
        <v>1726.1032062845838</v>
      </c>
      <c r="R42" s="16">
        <f t="shared" si="11"/>
        <v>22527.431683674047</v>
      </c>
      <c r="S42" s="14">
        <f t="shared" si="7"/>
        <v>1.1884935630692377</v>
      </c>
      <c r="T42" s="9"/>
      <c r="U42" s="9"/>
      <c r="V42" s="9">
        <f>VLOOKUP($A42,WageProp_2015!$A:$D,2,FALSE)</f>
        <v>0.80554616451263428</v>
      </c>
      <c r="W42" s="9">
        <f>VLOOKUP($A42,WageProp_2015!$A:$D,3,FALSE)</f>
        <v>1.1253236532211304</v>
      </c>
      <c r="X42" s="9">
        <f>VLOOKUP($A42,WageProp_2015!$A:$D,4,FALSE)</f>
        <v>0.97240382432937622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.75" thickBot="1">
      <c r="A43" s="9">
        <f t="shared" si="12"/>
        <v>36</v>
      </c>
      <c r="B43" s="9">
        <v>2031</v>
      </c>
      <c r="C43" s="2">
        <v>2462.6723697734046</v>
      </c>
      <c r="D43" s="50">
        <f t="shared" si="1"/>
        <v>0.98441469669342041</v>
      </c>
      <c r="E43" s="9">
        <f t="shared" si="8"/>
        <v>2424.290873945753</v>
      </c>
      <c r="F43" s="10">
        <v>5654.6592028435134</v>
      </c>
      <c r="G43" s="64">
        <f t="shared" si="2"/>
        <v>3.9342186003975543E-2</v>
      </c>
      <c r="H43" s="7">
        <v>2.0000081543502003E-2</v>
      </c>
      <c r="I43" s="1">
        <f t="shared" si="3"/>
        <v>3.5541291104925085E-2</v>
      </c>
      <c r="J43" s="14">
        <f t="shared" si="13"/>
        <v>10.492743607603773</v>
      </c>
      <c r="K43" s="15">
        <f t="shared" si="14"/>
        <v>335.29149516754012</v>
      </c>
      <c r="L43" s="15">
        <f t="shared" si="9"/>
        <v>4654.6384779758455</v>
      </c>
      <c r="M43" s="14">
        <f t="shared" si="4"/>
        <v>0.87503528594970692</v>
      </c>
      <c r="N43" s="14"/>
      <c r="O43" s="12">
        <f t="shared" si="10"/>
        <v>8.6000081543501999E-2</v>
      </c>
      <c r="P43" s="15">
        <f t="shared" si="5"/>
        <v>1745.4894292409422</v>
      </c>
      <c r="Q43" s="15">
        <f t="shared" si="6"/>
        <v>1820.5455458649631</v>
      </c>
      <c r="R43" s="16">
        <f t="shared" si="11"/>
        <v>26285.338191300649</v>
      </c>
      <c r="S43" s="14">
        <f t="shared" si="7"/>
        <v>1.2031735181808472</v>
      </c>
      <c r="T43" s="9"/>
      <c r="U43" s="9"/>
      <c r="V43" s="9">
        <f>VLOOKUP($A43,WageProp_2015!$A:$D,2,FALSE)</f>
        <v>0.80717629194259644</v>
      </c>
      <c r="W43" s="9">
        <f>VLOOKUP($A43,WageProp_2015!$A:$D,3,FALSE)</f>
        <v>1.1458193063735962</v>
      </c>
      <c r="X43" s="9">
        <f>VLOOKUP($A43,WageProp_2015!$A:$D,4,FALSE)</f>
        <v>0.98441469669342041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.75" thickBot="1">
      <c r="A44" s="9">
        <f t="shared" si="12"/>
        <v>37</v>
      </c>
      <c r="B44" s="9">
        <v>2032</v>
      </c>
      <c r="C44" s="2">
        <v>2563.3328877759564</v>
      </c>
      <c r="D44" s="50">
        <f t="shared" si="1"/>
        <v>0.99693059921264648</v>
      </c>
      <c r="E44" s="9">
        <f t="shared" si="8"/>
        <v>2555.4649917919678</v>
      </c>
      <c r="F44" s="10">
        <v>5867.271184354031</v>
      </c>
      <c r="G44" s="64">
        <f t="shared" si="2"/>
        <v>3.7599433296281237E-2</v>
      </c>
      <c r="H44" s="7">
        <v>2.0000096226186145E-2</v>
      </c>
      <c r="I44" s="1">
        <f t="shared" si="3"/>
        <v>3.5473765111880835E-2</v>
      </c>
      <c r="J44" s="14">
        <f t="shared" si="13"/>
        <v>10.827739017507566</v>
      </c>
      <c r="K44" s="15">
        <f t="shared" si="14"/>
        <v>348.37495208548324</v>
      </c>
      <c r="L44" s="15">
        <f t="shared" si="9"/>
        <v>4906.4927842405787</v>
      </c>
      <c r="M44" s="14">
        <f t="shared" si="4"/>
        <v>0.8861605326334635</v>
      </c>
      <c r="N44" s="14"/>
      <c r="O44" s="12">
        <f t="shared" si="10"/>
        <v>8.6000096226186151E-2</v>
      </c>
      <c r="P44" s="15">
        <f t="shared" si="5"/>
        <v>1839.9347940902167</v>
      </c>
      <c r="Q44" s="15">
        <f t="shared" si="6"/>
        <v>1919.0520787610499</v>
      </c>
      <c r="R44" s="16">
        <f t="shared" si="11"/>
        <v>30464.931883851405</v>
      </c>
      <c r="S44" s="14">
        <f t="shared" si="7"/>
        <v>1.2184707323710122</v>
      </c>
      <c r="T44" s="9"/>
      <c r="U44" s="9"/>
      <c r="V44" s="9">
        <f>VLOOKUP($A44,WageProp_2015!$A:$D,2,FALSE)</f>
        <v>0.82697826623916626</v>
      </c>
      <c r="W44" s="9">
        <f>VLOOKUP($A44,WageProp_2015!$A:$D,3,FALSE)</f>
        <v>1.1551804542541504</v>
      </c>
      <c r="X44" s="9">
        <f>VLOOKUP($A44,WageProp_2015!$A:$D,4,FALSE)</f>
        <v>0.99693059921264648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.75" thickBot="1">
      <c r="A45" s="9">
        <f t="shared" si="12"/>
        <v>38</v>
      </c>
      <c r="B45" s="9">
        <v>2033</v>
      </c>
      <c r="C45" s="2">
        <v>2666.3017179211438</v>
      </c>
      <c r="D45" s="50">
        <f t="shared" si="1"/>
        <v>0.99691569805145264</v>
      </c>
      <c r="E45" s="9">
        <f t="shared" si="8"/>
        <v>2658.0780383371443</v>
      </c>
      <c r="F45" s="10">
        <v>6080.451799554945</v>
      </c>
      <c r="G45" s="64">
        <f t="shared" si="2"/>
        <v>3.6333860921477834E-2</v>
      </c>
      <c r="H45" s="7">
        <v>2.0000112122315256E-2</v>
      </c>
      <c r="I45" s="1">
        <f t="shared" si="3"/>
        <v>3.4079565882262221E-2</v>
      </c>
      <c r="J45" s="14">
        <f t="shared" si="13"/>
        <v>11.159843198190348</v>
      </c>
      <c r="K45" s="15">
        <f t="shared" si="14"/>
        <v>361.43466592994315</v>
      </c>
      <c r="L45" s="15">
        <f t="shared" si="9"/>
        <v>5103.509833607317</v>
      </c>
      <c r="M45" s="14">
        <f t="shared" si="4"/>
        <v>0.88614728715684665</v>
      </c>
      <c r="N45" s="14"/>
      <c r="O45" s="12">
        <f t="shared" si="10"/>
        <v>8.6000112122315259E-2</v>
      </c>
      <c r="P45" s="15">
        <f t="shared" si="5"/>
        <v>1913.8161876027439</v>
      </c>
      <c r="Q45" s="15">
        <f t="shared" si="6"/>
        <v>1996.1103909604128</v>
      </c>
      <c r="R45" s="16">
        <f t="shared" si="11"/>
        <v>35081.029832621738</v>
      </c>
      <c r="S45" s="14">
        <f t="shared" si="7"/>
        <v>1.2184525198406644</v>
      </c>
      <c r="T45" s="9"/>
      <c r="U45" s="9"/>
      <c r="V45" s="9">
        <f>VLOOKUP($A45,WageProp_2015!$A:$D,2,FALSE)</f>
        <v>0.83879190683364868</v>
      </c>
      <c r="W45" s="9">
        <f>VLOOKUP($A45,WageProp_2015!$A:$D,3,FALSE)</f>
        <v>1.1444475650787354</v>
      </c>
      <c r="X45" s="9">
        <f>VLOOKUP($A45,WageProp_2015!$A:$D,4,FALSE)</f>
        <v>0.99691569805145264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.75" thickBot="1">
      <c r="A46" s="9">
        <f t="shared" si="12"/>
        <v>39</v>
      </c>
      <c r="B46" s="9">
        <v>2034</v>
      </c>
      <c r="C46" s="2">
        <v>2772.4001613971109</v>
      </c>
      <c r="D46" s="50">
        <f t="shared" si="1"/>
        <v>0.99494773149490356</v>
      </c>
      <c r="E46" s="9">
        <f t="shared" si="8"/>
        <v>2758.3932513781601</v>
      </c>
      <c r="F46" s="10">
        <v>6292.3495192104829</v>
      </c>
      <c r="G46" s="64">
        <f t="shared" si="2"/>
        <v>3.4849009027758004E-2</v>
      </c>
      <c r="H46" s="7">
        <v>2.0000129231889336E-2</v>
      </c>
      <c r="I46" s="1">
        <f t="shared" si="3"/>
        <v>3.3067111161645318E-2</v>
      </c>
      <c r="J46" s="14">
        <f t="shared" si="13"/>
        <v>11.491964596213331</v>
      </c>
      <c r="K46" s="15">
        <f t="shared" si="14"/>
        <v>374.58142623351847</v>
      </c>
      <c r="L46" s="15">
        <f t="shared" si="9"/>
        <v>5296.1150426460672</v>
      </c>
      <c r="M46" s="14">
        <f t="shared" si="4"/>
        <v>0.88439798355102528</v>
      </c>
      <c r="N46" s="14"/>
      <c r="O46" s="12">
        <f t="shared" si="10"/>
        <v>8.6000129231889336E-2</v>
      </c>
      <c r="P46" s="15">
        <f t="shared" si="5"/>
        <v>1986.0431409922753</v>
      </c>
      <c r="Q46" s="15">
        <f t="shared" si="6"/>
        <v>2071.4431243849972</v>
      </c>
      <c r="R46" s="16">
        <f t="shared" si="11"/>
        <v>40169.446056199966</v>
      </c>
      <c r="S46" s="14">
        <f t="shared" si="7"/>
        <v>1.2160472273826599</v>
      </c>
      <c r="T46" s="9"/>
      <c r="U46" s="9"/>
      <c r="V46" s="9">
        <f>VLOOKUP($A46,WageProp_2015!$A:$D,2,FALSE)</f>
        <v>0.84381401538848877</v>
      </c>
      <c r="W46" s="9">
        <f>VLOOKUP($A46,WageProp_2015!$A:$D,3,FALSE)</f>
        <v>1.1431491374969482</v>
      </c>
      <c r="X46" s="9">
        <f>VLOOKUP($A46,WageProp_2015!$A:$D,4,FALSE)</f>
        <v>0.99494773149490356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.75" thickBot="1">
      <c r="A47" s="9">
        <f t="shared" si="12"/>
        <v>40</v>
      </c>
      <c r="B47" s="9">
        <v>2035</v>
      </c>
      <c r="C47" s="2">
        <v>2882.7485616791419</v>
      </c>
      <c r="D47" s="50">
        <f t="shared" si="1"/>
        <v>0.98889249563217163</v>
      </c>
      <c r="E47" s="9">
        <f t="shared" si="8"/>
        <v>2850.7284194389399</v>
      </c>
      <c r="F47" s="10">
        <v>6507.6659586194337</v>
      </c>
      <c r="G47" s="64">
        <f t="shared" si="2"/>
        <v>3.4218766575440762E-2</v>
      </c>
      <c r="H47" s="7">
        <v>2.0000147554908386E-2</v>
      </c>
      <c r="I47" s="1">
        <f t="shared" si="3"/>
        <v>3.187923306858427E-2</v>
      </c>
      <c r="J47" s="14">
        <f t="shared" si="13"/>
        <v>11.821684112214074</v>
      </c>
      <c r="K47" s="15">
        <f t="shared" si="14"/>
        <v>387.71693168258565</v>
      </c>
      <c r="L47" s="15">
        <f t="shared" si="9"/>
        <v>5473.3985653227646</v>
      </c>
      <c r="M47" s="14">
        <f t="shared" si="4"/>
        <v>0.87901555167304135</v>
      </c>
      <c r="N47" s="14"/>
      <c r="O47" s="12">
        <f t="shared" si="10"/>
        <v>8.6000147554908396E-2</v>
      </c>
      <c r="P47" s="15">
        <f t="shared" si="5"/>
        <v>2052.5244619960367</v>
      </c>
      <c r="Q47" s="15">
        <f t="shared" si="6"/>
        <v>2140.7831652918958</v>
      </c>
      <c r="R47" s="16">
        <f t="shared" si="11"/>
        <v>45764.807509523991</v>
      </c>
      <c r="S47" s="14">
        <f t="shared" si="7"/>
        <v>1.208646383550432</v>
      </c>
      <c r="T47" s="9"/>
      <c r="U47" s="9"/>
      <c r="V47" s="9">
        <f>VLOOKUP($A47,WageProp_2015!$A:$D,2,FALSE)</f>
        <v>0.83166748285293579</v>
      </c>
      <c r="W47" s="9">
        <f>VLOOKUP($A47,WageProp_2015!$A:$D,3,FALSE)</f>
        <v>1.1424435377120972</v>
      </c>
      <c r="X47" s="9">
        <f>VLOOKUP($A47,WageProp_2015!$A:$D,4,FALSE)</f>
        <v>0.98889249563217163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.75" thickBot="1">
      <c r="A48" s="9">
        <f t="shared" si="12"/>
        <v>41</v>
      </c>
      <c r="B48" s="9">
        <v>2036</v>
      </c>
      <c r="C48" s="2">
        <v>2997.4990798822414</v>
      </c>
      <c r="D48" s="50">
        <f t="shared" si="1"/>
        <v>0.99658083915710449</v>
      </c>
      <c r="E48" s="9">
        <f t="shared" si="8"/>
        <v>2987.2501484016925</v>
      </c>
      <c r="F48" s="10">
        <v>6728.3524481018485</v>
      </c>
      <c r="G48" s="64">
        <f t="shared" si="2"/>
        <v>3.3911772805442553E-2</v>
      </c>
      <c r="H48" s="7">
        <v>2.0000167091372405E-2</v>
      </c>
      <c r="I48" s="1">
        <f t="shared" si="3"/>
        <v>3.1375042771334287E-2</v>
      </c>
      <c r="J48" s="14">
        <f t="shared" si="13"/>
        <v>12.155499372399001</v>
      </c>
      <c r="K48" s="15">
        <f t="shared" si="14"/>
        <v>401.09803052876845</v>
      </c>
      <c r="L48" s="15">
        <f t="shared" si="9"/>
        <v>5735.52028493125</v>
      </c>
      <c r="M48" s="14">
        <f t="shared" si="4"/>
        <v>0.88584963480631507</v>
      </c>
      <c r="N48" s="14"/>
      <c r="O48" s="12">
        <f t="shared" si="10"/>
        <v>8.6000167091372412E-2</v>
      </c>
      <c r="P48" s="15">
        <f t="shared" si="5"/>
        <v>2150.8201068492185</v>
      </c>
      <c r="Q48" s="15">
        <f t="shared" si="6"/>
        <v>2243.3055511354769</v>
      </c>
      <c r="R48" s="16">
        <f t="shared" si="11"/>
        <v>51943.894153383022</v>
      </c>
      <c r="S48" s="14">
        <f t="shared" si="7"/>
        <v>1.2180432478586833</v>
      </c>
      <c r="T48" s="9"/>
      <c r="U48" s="9"/>
      <c r="V48" s="9">
        <f>VLOOKUP($A48,WageProp_2015!$A:$D,2,FALSE)</f>
        <v>0.8471904993057251</v>
      </c>
      <c r="W48" s="9">
        <f>VLOOKUP($A48,WageProp_2015!$A:$D,3,FALSE)</f>
        <v>1.1501134634017944</v>
      </c>
      <c r="X48" s="9">
        <f>VLOOKUP($A48,WageProp_2015!$A:$D,4,FALSE)</f>
        <v>0.99658083915710449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24" ht="15.75" thickBot="1">
      <c r="A49" s="9">
        <f t="shared" si="12"/>
        <v>42</v>
      </c>
      <c r="B49" s="9">
        <v>2037</v>
      </c>
      <c r="C49" s="2">
        <v>3116.8231771370338</v>
      </c>
      <c r="D49" s="50">
        <f t="shared" si="1"/>
        <v>0.96743524074554443</v>
      </c>
      <c r="E49" s="9">
        <f t="shared" si="8"/>
        <v>3015.324580734859</v>
      </c>
      <c r="F49" s="10">
        <v>6956.9362288027596</v>
      </c>
      <c r="G49" s="64">
        <f t="shared" si="2"/>
        <v>3.3973217435331771E-2</v>
      </c>
      <c r="H49" s="7">
        <v>2.0000187841281398E-2</v>
      </c>
      <c r="I49" s="1">
        <f t="shared" si="3"/>
        <v>3.1129451662628524E-2</v>
      </c>
      <c r="J49" s="14">
        <f t="shared" si="13"/>
        <v>12.496053999532387</v>
      </c>
      <c r="K49" s="15">
        <f t="shared" si="14"/>
        <v>414.83258845742131</v>
      </c>
      <c r="L49" s="15">
        <f t="shared" si="9"/>
        <v>5789.4231950109297</v>
      </c>
      <c r="M49" s="14">
        <f t="shared" si="4"/>
        <v>0.85994243621826172</v>
      </c>
      <c r="N49" s="14"/>
      <c r="O49" s="12">
        <f t="shared" si="10"/>
        <v>8.6000187841281397E-2</v>
      </c>
      <c r="P49" s="15">
        <f t="shared" si="5"/>
        <v>2171.0336981290984</v>
      </c>
      <c r="Q49" s="15">
        <f t="shared" si="6"/>
        <v>2264.3883510535256</v>
      </c>
      <c r="R49" s="16">
        <f t="shared" si="11"/>
        <v>58675.467158835127</v>
      </c>
      <c r="S49" s="14">
        <f t="shared" si="7"/>
        <v>1.1824208498001096</v>
      </c>
      <c r="T49" s="9"/>
      <c r="U49" s="9"/>
      <c r="V49" s="9">
        <f>VLOOKUP($A49,WageProp_2015!$A:$D,2,FALSE)</f>
        <v>0.84641027450561523</v>
      </c>
      <c r="W49" s="9">
        <f>VLOOKUP($A49,WageProp_2015!$A:$D,3,FALSE)</f>
        <v>1.0896371603012085</v>
      </c>
      <c r="X49" s="9">
        <f>VLOOKUP($A49,WageProp_2015!$A:$D,4,FALSE)</f>
        <v>0.96743524074554443</v>
      </c>
    </row>
    <row r="50" spans="1:24" ht="15.75" thickBot="1">
      <c r="A50" s="9">
        <f t="shared" si="12"/>
        <v>43</v>
      </c>
      <c r="B50" s="9">
        <v>2038</v>
      </c>
      <c r="C50" s="2">
        <v>3240.9071355492956</v>
      </c>
      <c r="D50" s="50">
        <f t="shared" si="1"/>
        <v>0.96941286325454712</v>
      </c>
      <c r="E50" s="9">
        <f t="shared" si="8"/>
        <v>3141.7770658149352</v>
      </c>
      <c r="F50" s="10">
        <v>7194.454429600919</v>
      </c>
      <c r="G50" s="64">
        <f t="shared" si="2"/>
        <v>3.4141207132932783E-2</v>
      </c>
      <c r="H50" s="7">
        <v>2.000020980463536E-2</v>
      </c>
      <c r="I50" s="1">
        <f t="shared" si="3"/>
        <v>3.1178611516521699E-2</v>
      </c>
      <c r="J50" s="14">
        <f t="shared" si="13"/>
        <v>12.846702651359195</v>
      </c>
      <c r="K50" s="15">
        <f t="shared" si="14"/>
        <v>429.05988298931908</v>
      </c>
      <c r="L50" s="15">
        <f t="shared" si="9"/>
        <v>6032.2119663646763</v>
      </c>
      <c r="M50" s="14">
        <f t="shared" si="4"/>
        <v>0.86170032289293075</v>
      </c>
      <c r="N50" s="14"/>
      <c r="O50" s="12">
        <f t="shared" si="10"/>
        <v>8.6000209804635366E-2</v>
      </c>
      <c r="P50" s="15">
        <f t="shared" si="5"/>
        <v>2262.0794873867535</v>
      </c>
      <c r="Q50" s="15">
        <f t="shared" si="6"/>
        <v>2359.349142641765</v>
      </c>
      <c r="R50" s="16">
        <f t="shared" si="11"/>
        <v>66080.918787521703</v>
      </c>
      <c r="S50" s="14">
        <f t="shared" si="7"/>
        <v>1.1848379439777799</v>
      </c>
      <c r="T50" s="9"/>
      <c r="U50" s="9"/>
      <c r="V50" s="9">
        <f>VLOOKUP($A50,WageProp_2015!$A:$D,2,FALSE)</f>
        <v>0.85431569814682007</v>
      </c>
      <c r="W50" s="9">
        <f>VLOOKUP($A50,WageProp_2015!$A:$D,3,FALSE)</f>
        <v>1.089144229888916</v>
      </c>
      <c r="X50" s="9">
        <f>VLOOKUP($A50,WageProp_2015!$A:$D,4,FALSE)</f>
        <v>0.96941286325454712</v>
      </c>
    </row>
    <row r="51" spans="1:24" ht="15.75" thickBot="1">
      <c r="A51" s="9">
        <f t="shared" si="12"/>
        <v>44</v>
      </c>
      <c r="B51" s="9">
        <v>2039</v>
      </c>
      <c r="C51" s="2">
        <v>3369.9399404186051</v>
      </c>
      <c r="D51" s="50">
        <f t="shared" si="1"/>
        <v>0.97420632839202881</v>
      </c>
      <c r="E51" s="9">
        <f t="shared" si="8"/>
        <v>3283.0168162568616</v>
      </c>
      <c r="F51" s="10">
        <v>7438.728940785164</v>
      </c>
      <c r="G51" s="64">
        <f t="shared" si="2"/>
        <v>3.3953166786240274E-2</v>
      </c>
      <c r="H51" s="7">
        <v>2.0000232981434291E-2</v>
      </c>
      <c r="I51" s="1">
        <f t="shared" si="3"/>
        <v>3.1313007667273296E-2</v>
      </c>
      <c r="J51" s="14">
        <f t="shared" si="13"/>
        <v>13.208744660118265</v>
      </c>
      <c r="K51" s="15">
        <f t="shared" si="14"/>
        <v>443.83855393565943</v>
      </c>
      <c r="L51" s="15">
        <f t="shared" si="9"/>
        <v>6303.3922872131752</v>
      </c>
      <c r="M51" s="14">
        <f t="shared" si="4"/>
        <v>0.86596118079291451</v>
      </c>
      <c r="N51" s="14"/>
      <c r="O51" s="12">
        <f t="shared" si="10"/>
        <v>8.6000232981434291E-2</v>
      </c>
      <c r="P51" s="15">
        <f t="shared" si="5"/>
        <v>2363.7721077049405</v>
      </c>
      <c r="Q51" s="15">
        <f t="shared" si="6"/>
        <v>2465.414583693761</v>
      </c>
      <c r="R51" s="16">
        <f t="shared" si="11"/>
        <v>74229.307782569565</v>
      </c>
      <c r="S51" s="14">
        <f t="shared" si="7"/>
        <v>1.1906966235902574</v>
      </c>
      <c r="T51" s="9"/>
      <c r="U51" s="9"/>
      <c r="V51" s="9">
        <f>VLOOKUP($A51,WageProp_2015!$A:$D,2,FALSE)</f>
        <v>0.84753310680389404</v>
      </c>
      <c r="W51" s="9">
        <f>VLOOKUP($A51,WageProp_2015!$A:$D,3,FALSE)</f>
        <v>1.1103001832962036</v>
      </c>
      <c r="X51" s="9">
        <f>VLOOKUP($A51,WageProp_2015!$A:$D,4,FALSE)</f>
        <v>0.97420632839202881</v>
      </c>
    </row>
    <row r="52" spans="1:24" ht="15.75" thickBot="1">
      <c r="A52" s="9">
        <f t="shared" si="12"/>
        <v>45</v>
      </c>
      <c r="B52" s="9">
        <v>2040</v>
      </c>
      <c r="C52" s="2">
        <v>3504.1109005729477</v>
      </c>
      <c r="D52" s="50">
        <f t="shared" si="1"/>
        <v>0.96299594640731812</v>
      </c>
      <c r="E52" s="9">
        <f t="shared" si="8"/>
        <v>3374.4445930134457</v>
      </c>
      <c r="F52" s="10">
        <v>7692.8054676259062</v>
      </c>
      <c r="G52" s="64">
        <f t="shared" si="2"/>
        <v>3.4155906051057672E-2</v>
      </c>
      <c r="H52" s="7">
        <v>2.0000257371678196E-2</v>
      </c>
      <c r="I52" s="1">
        <f t="shared" si="3"/>
        <v>3.116258002527908E-2</v>
      </c>
      <c r="J52" s="14">
        <f t="shared" si="13"/>
        <v>13.579201366372237</v>
      </c>
      <c r="K52" s="15">
        <f t="shared" si="14"/>
        <v>459.05282383651598</v>
      </c>
      <c r="L52" s="15">
        <f t="shared" si="9"/>
        <v>6478.9336185858165</v>
      </c>
      <c r="M52" s="14">
        <f t="shared" si="4"/>
        <v>0.85599639680650497</v>
      </c>
      <c r="N52" s="14"/>
      <c r="O52" s="12">
        <f t="shared" si="10"/>
        <v>8.6000257371678199E-2</v>
      </c>
      <c r="P52" s="15">
        <f t="shared" si="5"/>
        <v>2429.6001069696808</v>
      </c>
      <c r="Q52" s="15">
        <f t="shared" si="6"/>
        <v>2534.0732242245053</v>
      </c>
      <c r="R52" s="16">
        <f t="shared" si="11"/>
        <v>83147.120580616567</v>
      </c>
      <c r="S52" s="14">
        <f t="shared" si="7"/>
        <v>1.1769950456089444</v>
      </c>
      <c r="T52" s="9"/>
      <c r="U52" s="9"/>
      <c r="V52" s="9">
        <f>VLOOKUP($A52,WageProp_2015!$A:$D,2,FALSE)</f>
        <v>0.8550114631652832</v>
      </c>
      <c r="W52" s="9">
        <f>VLOOKUP($A52,WageProp_2015!$A:$D,3,FALSE)</f>
        <v>1.0823336839675903</v>
      </c>
      <c r="X52" s="9">
        <f>VLOOKUP($A52,WageProp_2015!$A:$D,4,FALSE)</f>
        <v>0.96299594640731812</v>
      </c>
    </row>
    <row r="53" spans="1:24" ht="15.75" thickBot="1">
      <c r="A53" s="9">
        <f t="shared" si="12"/>
        <v>46</v>
      </c>
      <c r="B53" s="9">
        <v>2041</v>
      </c>
      <c r="C53" s="2">
        <v>3643.636473176995</v>
      </c>
      <c r="D53" s="50">
        <f t="shared" si="1"/>
        <v>0.95547056198120117</v>
      </c>
      <c r="E53" s="9">
        <f t="shared" si="8"/>
        <v>3481.387388681625</v>
      </c>
      <c r="F53" s="10">
        <v>7951.9042523795979</v>
      </c>
      <c r="G53" s="64">
        <f t="shared" si="2"/>
        <v>3.3680662515654713E-2</v>
      </c>
      <c r="H53" s="7">
        <v>2.0000282975367066E-2</v>
      </c>
      <c r="I53" s="1">
        <f t="shared" si="3"/>
        <v>3.1324776315181775E-2</v>
      </c>
      <c r="J53" s="14">
        <f t="shared" si="13"/>
        <v>13.962030267178616</v>
      </c>
      <c r="K53" s="15">
        <f t="shared" si="14"/>
        <v>474.87052356240048</v>
      </c>
      <c r="L53" s="15">
        <f t="shared" si="9"/>
        <v>6684.2637862687207</v>
      </c>
      <c r="M53" s="14">
        <f t="shared" si="4"/>
        <v>0.84930716620551217</v>
      </c>
      <c r="N53" s="14"/>
      <c r="O53" s="12">
        <f t="shared" si="10"/>
        <v>8.6000282975367076E-2</v>
      </c>
      <c r="P53" s="15">
        <f t="shared" si="5"/>
        <v>2506.59891985077</v>
      </c>
      <c r="Q53" s="15">
        <f t="shared" si="6"/>
        <v>2614.3830280572279</v>
      </c>
      <c r="R53" s="16">
        <f t="shared" si="11"/>
        <v>92912.179507193781</v>
      </c>
      <c r="S53" s="14">
        <f t="shared" si="7"/>
        <v>1.1677973535325792</v>
      </c>
      <c r="T53" s="9"/>
      <c r="U53" s="9"/>
      <c r="V53" s="9">
        <f>VLOOKUP($A53,WageProp_2015!$A:$D,2,FALSE)</f>
        <v>0.84732639789581299</v>
      </c>
      <c r="W53" s="9">
        <f>VLOOKUP($A53,WageProp_2015!$A:$D,3,FALSE)</f>
        <v>1.074791431427002</v>
      </c>
      <c r="X53" s="9">
        <f>VLOOKUP($A53,WageProp_2015!$A:$D,4,FALSE)</f>
        <v>0.95547056198120117</v>
      </c>
    </row>
    <row r="54" spans="1:24" ht="15.75" thickBot="1">
      <c r="A54" s="9">
        <f t="shared" si="12"/>
        <v>47</v>
      </c>
      <c r="B54" s="9">
        <v>2042</v>
      </c>
      <c r="C54" s="2">
        <v>3788.7294782631448</v>
      </c>
      <c r="D54" s="50">
        <f t="shared" si="1"/>
        <v>0.92787927389144897</v>
      </c>
      <c r="E54" s="9">
        <f t="shared" si="8"/>
        <v>3515.4835572619349</v>
      </c>
      <c r="F54" s="10">
        <v>8218.6998462407555</v>
      </c>
      <c r="G54" s="64">
        <f t="shared" si="2"/>
        <v>3.3551157734490911E-2</v>
      </c>
      <c r="H54" s="7">
        <v>2.0000309792500909E-2</v>
      </c>
      <c r="I54" s="1">
        <f t="shared" si="3"/>
        <v>3.0944586607597184E-2</v>
      </c>
      <c r="J54" s="14">
        <f t="shared" si="13"/>
        <v>14.350874596517158</v>
      </c>
      <c r="K54" s="15">
        <f t="shared" si="14"/>
        <v>491.03466281054943</v>
      </c>
      <c r="L54" s="15">
        <f t="shared" si="9"/>
        <v>6749.7284299429148</v>
      </c>
      <c r="M54" s="14">
        <f t="shared" si="4"/>
        <v>0.82478157679239894</v>
      </c>
      <c r="N54" s="14"/>
      <c r="O54" s="12">
        <f t="shared" si="10"/>
        <v>8.6000309792500909E-2</v>
      </c>
      <c r="P54" s="15">
        <f t="shared" si="5"/>
        <v>2531.1481612285929</v>
      </c>
      <c r="Q54" s="15">
        <f t="shared" si="6"/>
        <v>2639.9879242267821</v>
      </c>
      <c r="R54" s="16">
        <f t="shared" si="11"/>
        <v>103542.64365253567</v>
      </c>
      <c r="S54" s="14">
        <f t="shared" si="7"/>
        <v>1.1340746680895486</v>
      </c>
      <c r="T54" s="9"/>
      <c r="U54" s="9"/>
      <c r="V54" s="9">
        <f>VLOOKUP($A54,WageProp_2015!$A:$D,2,FALSE)</f>
        <v>0.84880244731903076</v>
      </c>
      <c r="W54" s="9">
        <f>VLOOKUP($A54,WageProp_2015!$A:$D,3,FALSE)</f>
        <v>1.015578031539917</v>
      </c>
      <c r="X54" s="9">
        <f>VLOOKUP($A54,WageProp_2015!$A:$D,4,FALSE)</f>
        <v>0.92787927389144897</v>
      </c>
    </row>
    <row r="55" spans="1:24" ht="15.75" thickBot="1">
      <c r="A55" s="9">
        <f t="shared" si="12"/>
        <v>48</v>
      </c>
      <c r="B55" s="9">
        <v>2043</v>
      </c>
      <c r="C55" s="2">
        <v>3939.6177157322309</v>
      </c>
      <c r="D55" s="50">
        <f t="shared" si="1"/>
        <v>0.91885262727737427</v>
      </c>
      <c r="E55" s="9">
        <f t="shared" si="8"/>
        <v>3619.9280885690482</v>
      </c>
      <c r="F55" s="10">
        <v>8492.0001217589561</v>
      </c>
      <c r="G55" s="64">
        <f t="shared" si="2"/>
        <v>3.3253468386877261E-2</v>
      </c>
      <c r="H55" s="7">
        <v>2.0000337823079726E-2</v>
      </c>
      <c r="I55" s="1">
        <f t="shared" si="3"/>
        <v>3.0840988146092912E-2</v>
      </c>
      <c r="J55" s="14">
        <f t="shared" si="13"/>
        <v>14.749210234502685</v>
      </c>
      <c r="K55" s="15">
        <f t="shared" si="14"/>
        <v>507.69305644711642</v>
      </c>
      <c r="L55" s="15">
        <f t="shared" si="9"/>
        <v>6950.261930052573</v>
      </c>
      <c r="M55" s="14">
        <f t="shared" si="4"/>
        <v>0.8167578909132216</v>
      </c>
      <c r="N55" s="14"/>
      <c r="O55" s="12">
        <f t="shared" si="10"/>
        <v>8.6000337823079726E-2</v>
      </c>
      <c r="P55" s="15">
        <f t="shared" si="5"/>
        <v>2606.3482237697144</v>
      </c>
      <c r="Q55" s="15">
        <f t="shared" si="6"/>
        <v>2718.4216376341037</v>
      </c>
      <c r="R55" s="16">
        <f t="shared" si="11"/>
        <v>115165.76762338262</v>
      </c>
      <c r="S55" s="14">
        <f t="shared" si="7"/>
        <v>1.1230421000056796</v>
      </c>
      <c r="T55" s="9"/>
      <c r="U55" s="9"/>
      <c r="V55" s="9">
        <f>VLOOKUP($A55,WageProp_2015!$A:$D,2,FALSE)</f>
        <v>0.83396822214126587</v>
      </c>
      <c r="W55" s="9">
        <f>VLOOKUP($A55,WageProp_2015!$A:$D,3,FALSE)</f>
        <v>1.01800537109375</v>
      </c>
      <c r="X55" s="9">
        <f>VLOOKUP($A55,WageProp_2015!$A:$D,4,FALSE)</f>
        <v>0.91885262727737427</v>
      </c>
    </row>
    <row r="56" spans="1:24" ht="15.75" thickBot="1">
      <c r="A56" s="9">
        <f t="shared" si="12"/>
        <v>49</v>
      </c>
      <c r="B56" s="9">
        <v>2044</v>
      </c>
      <c r="C56" s="2">
        <v>4096.5278571463314</v>
      </c>
      <c r="D56" s="50">
        <f t="shared" si="1"/>
        <v>0.9281962513923645</v>
      </c>
      <c r="E56" s="9">
        <f t="shared" si="8"/>
        <v>3802.3818007276204</v>
      </c>
      <c r="F56" s="10">
        <v>8774.9816269739476</v>
      </c>
      <c r="G56" s="64">
        <f t="shared" si="2"/>
        <v>3.3323304422701483E-2</v>
      </c>
      <c r="H56" s="7">
        <v>2.0000367067103508E-2</v>
      </c>
      <c r="I56" s="1">
        <f t="shared" si="3"/>
        <v>3.0602842274117754E-2</v>
      </c>
      <c r="J56" s="14">
        <f t="shared" si="13"/>
        <v>15.155441213529544</v>
      </c>
      <c r="K56" s="15">
        <f t="shared" si="14"/>
        <v>524.78359203024388</v>
      </c>
      <c r="L56" s="15">
        <f t="shared" si="9"/>
        <v>7300.5730573970313</v>
      </c>
      <c r="M56" s="14">
        <f t="shared" si="4"/>
        <v>0.82506333457099057</v>
      </c>
      <c r="N56" s="14"/>
      <c r="O56" s="12">
        <f t="shared" si="10"/>
        <v>8.6000367067103511E-2</v>
      </c>
      <c r="P56" s="15">
        <f t="shared" si="5"/>
        <v>2737.7148965238866</v>
      </c>
      <c r="Q56" s="15">
        <f t="shared" si="6"/>
        <v>2855.4371395369526</v>
      </c>
      <c r="R56" s="16">
        <f t="shared" si="11"/>
        <v>127925.50305209521</v>
      </c>
      <c r="S56" s="14">
        <f t="shared" si="7"/>
        <v>1.1344620850351121</v>
      </c>
      <c r="T56" s="9"/>
      <c r="U56" s="9"/>
      <c r="V56" s="9">
        <f>VLOOKUP($A56,WageProp_2015!$A:$D,2,FALSE)</f>
        <v>0.81881475448608398</v>
      </c>
      <c r="W56" s="9">
        <f>VLOOKUP($A56,WageProp_2015!$A:$D,3,FALSE)</f>
        <v>1.0541352033615112</v>
      </c>
      <c r="X56" s="9">
        <f>VLOOKUP($A56,WageProp_2015!$A:$D,4,FALSE)</f>
        <v>0.9281962513923645</v>
      </c>
    </row>
    <row r="57" spans="1:24" ht="15.75" thickBot="1">
      <c r="A57" s="9">
        <f t="shared" si="12"/>
        <v>50</v>
      </c>
      <c r="B57" s="9">
        <v>2045</v>
      </c>
      <c r="C57" s="2">
        <v>4259.7015361218128</v>
      </c>
      <c r="D57" s="50">
        <f t="shared" si="1"/>
        <v>0.89789140224456787</v>
      </c>
      <c r="E57" s="9">
        <f t="shared" si="8"/>
        <v>3824.7493854117542</v>
      </c>
      <c r="F57" s="10">
        <v>9062.877203186983</v>
      </c>
      <c r="G57" s="64">
        <f t="shared" si="2"/>
        <v>3.280868136840942E-2</v>
      </c>
      <c r="H57" s="7">
        <v>2.0000397524572264E-2</v>
      </c>
      <c r="I57" s="1">
        <f t="shared" si="3"/>
        <v>3.0658716951581892E-2</v>
      </c>
      <c r="J57" s="14">
        <f t="shared" si="13"/>
        <v>15.573622957727293</v>
      </c>
      <c r="K57" s="15">
        <f t="shared" si="14"/>
        <v>542.4817028000225</v>
      </c>
      <c r="L57" s="15">
        <f t="shared" si="9"/>
        <v>7343.5188199905679</v>
      </c>
      <c r="M57" s="14">
        <f t="shared" si="4"/>
        <v>0.79812569088406027</v>
      </c>
      <c r="N57" s="14"/>
      <c r="O57" s="12">
        <f t="shared" si="10"/>
        <v>8.6000397524572267E-2</v>
      </c>
      <c r="P57" s="15">
        <f t="shared" si="5"/>
        <v>2753.8195574964629</v>
      </c>
      <c r="Q57" s="15">
        <f t="shared" si="6"/>
        <v>2872.2343458242817</v>
      </c>
      <c r="R57" s="16">
        <f t="shared" si="11"/>
        <v>141799.38151393057</v>
      </c>
      <c r="S57" s="14">
        <f t="shared" si="7"/>
        <v>1.0974228249655829</v>
      </c>
      <c r="T57" s="9"/>
      <c r="U57" s="9"/>
      <c r="V57" s="9">
        <f>VLOOKUP($A57,WageProp_2015!$A:$D,2,FALSE)</f>
        <v>0.8034508228302002</v>
      </c>
      <c r="W57" s="9">
        <f>VLOOKUP($A57,WageProp_2015!$A:$D,3,FALSE)</f>
        <v>1.0119045972824097</v>
      </c>
      <c r="X57" s="9">
        <f>VLOOKUP($A57,WageProp_2015!$A:$D,4,FALSE)</f>
        <v>0.89789140224456787</v>
      </c>
    </row>
    <row r="58" spans="1:24" ht="15.75" thickBot="1">
      <c r="A58" s="9">
        <f t="shared" si="12"/>
        <v>51</v>
      </c>
      <c r="B58" s="9">
        <v>2046</v>
      </c>
      <c r="C58" s="2">
        <v>4428.6814782919482</v>
      </c>
      <c r="D58" s="50">
        <f t="shared" si="1"/>
        <v>0.87709158658981323</v>
      </c>
      <c r="E58" s="9">
        <f t="shared" si="8"/>
        <v>3884.3592642960043</v>
      </c>
      <c r="F58" s="10">
        <v>9354.2211742049421</v>
      </c>
      <c r="G58" s="64">
        <f t="shared" si="2"/>
        <v>3.2146962215874098E-2</v>
      </c>
      <c r="H58" s="7">
        <v>2.0000429195485985E-2</v>
      </c>
      <c r="I58" s="1">
        <f t="shared" si="3"/>
        <v>3.0247024599641993E-2</v>
      </c>
      <c r="J58" s="14">
        <f t="shared" si="13"/>
        <v>15.997573138764428</v>
      </c>
      <c r="K58" s="15">
        <f t="shared" si="14"/>
        <v>560.53100595041519</v>
      </c>
      <c r="L58" s="15">
        <f t="shared" si="9"/>
        <v>7457.969787448329</v>
      </c>
      <c r="M58" s="14">
        <f t="shared" si="4"/>
        <v>0.77963696585761166</v>
      </c>
      <c r="N58" s="14"/>
      <c r="O58" s="12">
        <f t="shared" si="10"/>
        <v>8.6000429195485992E-2</v>
      </c>
      <c r="P58" s="15">
        <f t="shared" si="5"/>
        <v>2796.7386702931231</v>
      </c>
      <c r="Q58" s="15">
        <f t="shared" si="6"/>
        <v>2916.9990332895341</v>
      </c>
      <c r="R58" s="16">
        <f t="shared" si="11"/>
        <v>156911.18821707257</v>
      </c>
      <c r="S58" s="14">
        <f t="shared" si="7"/>
        <v>1.0720008280542161</v>
      </c>
      <c r="T58" s="9"/>
      <c r="U58" s="9"/>
      <c r="V58" s="9">
        <f>VLOOKUP($A58,WageProp_2015!$A:$D,2,FALSE)</f>
        <v>0.7957494854927063</v>
      </c>
      <c r="W58" s="9">
        <f>VLOOKUP($A58,WageProp_2015!$A:$D,3,FALSE)</f>
        <v>0.97248458862304688</v>
      </c>
      <c r="X58" s="9">
        <f>VLOOKUP($A58,WageProp_2015!$A:$D,4,FALSE)</f>
        <v>0.87709158658981323</v>
      </c>
    </row>
    <row r="59" spans="1:24" ht="15.75" thickBot="1">
      <c r="A59" s="9">
        <f t="shared" si="12"/>
        <v>52</v>
      </c>
      <c r="B59" s="9">
        <v>2047</v>
      </c>
      <c r="C59" s="2">
        <v>4603.6456337142654</v>
      </c>
      <c r="D59" s="50">
        <f t="shared" si="1"/>
        <v>0.85606032609939575</v>
      </c>
      <c r="E59" s="9">
        <f t="shared" si="8"/>
        <v>3940.9983824434935</v>
      </c>
      <c r="F59" s="10">
        <v>9646.1813007496985</v>
      </c>
      <c r="G59" s="64">
        <f t="shared" si="2"/>
        <v>3.1211591121007576E-2</v>
      </c>
      <c r="H59" s="7">
        <v>2.000046207984468E-2</v>
      </c>
      <c r="I59" s="1">
        <f t="shared" si="3"/>
        <v>2.9717655611796477E-2</v>
      </c>
      <c r="J59" s="14">
        <f t="shared" si="13"/>
        <v>16.425442471010523</v>
      </c>
      <c r="K59" s="15">
        <f t="shared" si="14"/>
        <v>578.85444008444028</v>
      </c>
      <c r="L59" s="15">
        <f t="shared" si="9"/>
        <v>7566.7168942915087</v>
      </c>
      <c r="M59" s="14">
        <f t="shared" si="4"/>
        <v>0.76094251208835184</v>
      </c>
      <c r="N59" s="14"/>
      <c r="O59" s="12">
        <f t="shared" si="10"/>
        <v>8.6000462079844686E-2</v>
      </c>
      <c r="P59" s="15">
        <f t="shared" si="5"/>
        <v>2837.5188353593148</v>
      </c>
      <c r="Q59" s="15">
        <f t="shared" si="6"/>
        <v>2959.5328008598972</v>
      </c>
      <c r="R59" s="16">
        <f t="shared" si="11"/>
        <v>173365.15571009819</v>
      </c>
      <c r="S59" s="14">
        <f t="shared" si="7"/>
        <v>1.0462959541214836</v>
      </c>
      <c r="T59" s="9"/>
      <c r="U59" s="9"/>
      <c r="V59" s="9">
        <f>VLOOKUP($A59,WageProp_2015!$A:$D,2,FALSE)</f>
        <v>0.77372592687606812</v>
      </c>
      <c r="W59" s="9">
        <f>VLOOKUP($A59,WageProp_2015!$A:$D,3,FALSE)</f>
        <v>0.95353370904922485</v>
      </c>
      <c r="X59" s="9">
        <f>VLOOKUP($A59,WageProp_2015!$A:$D,4,FALSE)</f>
        <v>0.85606032609939575</v>
      </c>
    </row>
    <row r="60" spans="1:24" ht="15.75" thickBot="1">
      <c r="A60" s="9">
        <f t="shared" si="12"/>
        <v>53</v>
      </c>
      <c r="B60" s="9">
        <v>2048</v>
      </c>
      <c r="C60" s="2">
        <v>4784.7738146718557</v>
      </c>
      <c r="D60" s="50">
        <f t="shared" si="1"/>
        <v>0.8317839503288269</v>
      </c>
      <c r="E60" s="9">
        <f t="shared" si="8"/>
        <v>3979.8980649976866</v>
      </c>
      <c r="F60" s="10">
        <v>9945.6311468467484</v>
      </c>
      <c r="G60" s="64">
        <f t="shared" si="2"/>
        <v>3.1043356615511275E-2</v>
      </c>
      <c r="H60" s="7">
        <v>2.0000496177648344E-2</v>
      </c>
      <c r="I60" s="1">
        <f t="shared" si="3"/>
        <v>2.8969365312774997E-2</v>
      </c>
      <c r="J60" s="14">
        <f t="shared" si="13"/>
        <v>16.85369365004053</v>
      </c>
      <c r="K60" s="15">
        <f t="shared" si="14"/>
        <v>597.30039039594112</v>
      </c>
      <c r="L60" s="15">
        <f t="shared" si="9"/>
        <v>7641.4042847955589</v>
      </c>
      <c r="M60" s="14">
        <f t="shared" si="4"/>
        <v>0.73936351140340173</v>
      </c>
      <c r="N60" s="14"/>
      <c r="O60" s="12">
        <f t="shared" si="10"/>
        <v>8.600049617764835E-2</v>
      </c>
      <c r="P60" s="15">
        <f t="shared" si="5"/>
        <v>2865.5266067983343</v>
      </c>
      <c r="Q60" s="15">
        <f t="shared" si="6"/>
        <v>2988.7449617957891</v>
      </c>
      <c r="R60" s="16">
        <f t="shared" si="11"/>
        <v>191263.39008287768</v>
      </c>
      <c r="S60" s="14">
        <f t="shared" si="7"/>
        <v>1.0166248281796773</v>
      </c>
      <c r="T60" s="9"/>
      <c r="U60" s="9"/>
      <c r="V60" s="9">
        <f>VLOOKUP($A60,WageProp_2015!$A:$D,2,FALSE)</f>
        <v>0.76691383123397827</v>
      </c>
      <c r="W60" s="9">
        <f>VLOOKUP($A60,WageProp_2015!$A:$D,3,FALSE)</f>
        <v>0.90963613986968994</v>
      </c>
      <c r="X60" s="9">
        <f>VLOOKUP($A60,WageProp_2015!$A:$D,4,FALSE)</f>
        <v>0.8317839503288269</v>
      </c>
    </row>
    <row r="61" spans="1:24" ht="15.75" thickBot="1">
      <c r="A61" s="9">
        <f t="shared" si="12"/>
        <v>54</v>
      </c>
      <c r="B61" s="9">
        <v>2049</v>
      </c>
      <c r="C61" s="2">
        <v>4972.2469545964423</v>
      </c>
      <c r="D61" s="50">
        <f t="shared" si="1"/>
        <v>0.80968302488327026</v>
      </c>
      <c r="E61" s="9">
        <f t="shared" si="8"/>
        <v>4025.9439546642761</v>
      </c>
      <c r="F61" s="10">
        <v>10244.879718602138</v>
      </c>
      <c r="G61" s="64">
        <f t="shared" si="2"/>
        <v>3.0088444598135533E-2</v>
      </c>
      <c r="H61" s="7">
        <v>2.0000531488896977E-2</v>
      </c>
      <c r="I61" s="1">
        <f t="shared" si="3"/>
        <v>2.8834784527938691E-2</v>
      </c>
      <c r="J61" s="14">
        <f t="shared" si="13"/>
        <v>17.291069012449455</v>
      </c>
      <c r="K61" s="15">
        <f t="shared" si="14"/>
        <v>616.24572125701388</v>
      </c>
      <c r="L61" s="15">
        <f t="shared" si="9"/>
        <v>7729.8123929554095</v>
      </c>
      <c r="M61" s="14">
        <f t="shared" si="4"/>
        <v>0.71971824434068454</v>
      </c>
      <c r="N61" s="14"/>
      <c r="O61" s="12">
        <f t="shared" si="10"/>
        <v>8.6000531488896984E-2</v>
      </c>
      <c r="P61" s="15">
        <f t="shared" si="5"/>
        <v>2898.6796473582785</v>
      </c>
      <c r="Q61" s="15">
        <f t="shared" si="6"/>
        <v>3023.3236425027089</v>
      </c>
      <c r="R61" s="16">
        <f t="shared" si="11"/>
        <v>210735.46692687611</v>
      </c>
      <c r="S61" s="14">
        <f t="shared" si="7"/>
        <v>0.98961258596844126</v>
      </c>
      <c r="T61" s="9"/>
      <c r="U61" s="9"/>
      <c r="V61" s="9">
        <f>VLOOKUP($A61,WageProp_2015!$A:$D,2,FALSE)</f>
        <v>0.74470168352127075</v>
      </c>
      <c r="W61" s="9">
        <f>VLOOKUP($A61,WageProp_2015!$A:$D,3,FALSE)</f>
        <v>0.8920975923538208</v>
      </c>
      <c r="X61" s="9">
        <f>VLOOKUP($A61,WageProp_2015!$A:$D,4,FALSE)</f>
        <v>0.80968302488327026</v>
      </c>
    </row>
    <row r="62" spans="1:24" ht="15.75" thickBot="1">
      <c r="A62" s="9">
        <f t="shared" si="12"/>
        <v>55</v>
      </c>
      <c r="B62" s="9">
        <v>2050</v>
      </c>
      <c r="C62" s="2">
        <v>5166.2527935118542</v>
      </c>
      <c r="D62" s="50">
        <f t="shared" si="1"/>
        <v>0.80194032192230225</v>
      </c>
      <c r="E62" s="9">
        <f t="shared" si="8"/>
        <v>4143.0264283608894</v>
      </c>
      <c r="F62" s="10">
        <v>10551.294131351848</v>
      </c>
      <c r="G62" s="64">
        <f t="shared" si="2"/>
        <v>2.9909029794985109E-2</v>
      </c>
      <c r="H62" s="7">
        <v>2.0000568013590583E-2</v>
      </c>
      <c r="I62" s="1">
        <f t="shared" si="3"/>
        <v>2.8070861976287824E-2</v>
      </c>
      <c r="J62" s="14">
        <f t="shared" si="13"/>
        <v>17.727906702953298</v>
      </c>
      <c r="K62" s="15">
        <f t="shared" si="14"/>
        <v>635.27412470038576</v>
      </c>
      <c r="L62" s="15">
        <f t="shared" si="9"/>
        <v>7954.6107424529073</v>
      </c>
      <c r="M62" s="14">
        <f t="shared" si="4"/>
        <v>0.71283584170871295</v>
      </c>
      <c r="N62" s="14"/>
      <c r="O62" s="12">
        <f t="shared" si="10"/>
        <v>8.6000568013590586E-2</v>
      </c>
      <c r="P62" s="15">
        <f t="shared" si="5"/>
        <v>2982.9790284198402</v>
      </c>
      <c r="Q62" s="15">
        <f t="shared" si="6"/>
        <v>3111.2479738282077</v>
      </c>
      <c r="R62" s="16">
        <f t="shared" si="11"/>
        <v>231970.08475702492</v>
      </c>
      <c r="S62" s="14">
        <f t="shared" si="7"/>
        <v>0.98014928234948029</v>
      </c>
      <c r="T62" s="9"/>
      <c r="U62" s="9"/>
      <c r="V62" s="9">
        <f>VLOOKUP($A62,WageProp_2015!$A:$D,2,FALSE)</f>
        <v>0.72866976261138916</v>
      </c>
      <c r="W62" s="9">
        <f>VLOOKUP($A62,WageProp_2015!$A:$D,3,FALSE)</f>
        <v>0.89378643035888672</v>
      </c>
      <c r="X62" s="9">
        <f>VLOOKUP($A62,WageProp_2015!$A:$D,4,FALSE)</f>
        <v>0.80194032192230225</v>
      </c>
    </row>
    <row r="63" spans="1:24" ht="15.75" thickBot="1">
      <c r="A63" s="9">
        <f t="shared" si="12"/>
        <v>56</v>
      </c>
      <c r="B63" s="9">
        <v>2051</v>
      </c>
      <c r="C63" s="2">
        <v>5366.994220882335</v>
      </c>
      <c r="D63" s="50">
        <f t="shared" si="1"/>
        <v>0.78988707065582275</v>
      </c>
      <c r="E63" s="9">
        <f t="shared" si="8"/>
        <v>4239.319343359477</v>
      </c>
      <c r="F63" s="10">
        <v>10860.685475537575</v>
      </c>
      <c r="G63" s="64">
        <f t="shared" si="2"/>
        <v>2.9322596861972583E-2</v>
      </c>
      <c r="H63" s="7">
        <v>2.0000605751729159E-2</v>
      </c>
      <c r="I63" s="1">
        <f t="shared" si="3"/>
        <v>2.7927337438706207E-2</v>
      </c>
      <c r="J63" s="14">
        <f t="shared" si="13"/>
        <v>18.173490612271049</v>
      </c>
      <c r="K63" s="15">
        <f t="shared" si="14"/>
        <v>654.78979103163078</v>
      </c>
      <c r="L63" s="15">
        <f t="shared" si="9"/>
        <v>8139.4931392501949</v>
      </c>
      <c r="M63" s="14">
        <f t="shared" si="4"/>
        <v>0.70212184058295335</v>
      </c>
      <c r="N63" s="14"/>
      <c r="O63" s="12">
        <f t="shared" si="10"/>
        <v>8.6000605751729159E-2</v>
      </c>
      <c r="P63" s="15">
        <f t="shared" si="5"/>
        <v>3052.3099272188233</v>
      </c>
      <c r="Q63" s="15">
        <f t="shared" si="6"/>
        <v>3183.5601785602407</v>
      </c>
      <c r="R63" s="16">
        <f t="shared" si="11"/>
        <v>255103.21274096923</v>
      </c>
      <c r="S63" s="14">
        <f t="shared" si="7"/>
        <v>0.96541753080156101</v>
      </c>
      <c r="T63" s="9"/>
      <c r="U63" s="9"/>
      <c r="V63" s="9">
        <f>VLOOKUP($A63,WageProp_2015!$A:$D,2,FALSE)</f>
        <v>0.70807129144668579</v>
      </c>
      <c r="W63" s="9">
        <f>VLOOKUP($A63,WageProp_2015!$A:$D,3,FALSE)</f>
        <v>0.89387845993041992</v>
      </c>
      <c r="X63" s="9">
        <f>VLOOKUP($A63,WageProp_2015!$A:$D,4,FALSE)</f>
        <v>0.78988707065582275</v>
      </c>
    </row>
    <row r="64" spans="1:24" ht="15.75" thickBot="1">
      <c r="A64" s="9">
        <f t="shared" si="12"/>
        <v>57</v>
      </c>
      <c r="B64" s="9">
        <v>2052</v>
      </c>
      <c r="C64" s="2">
        <v>5574.6464365854845</v>
      </c>
      <c r="D64" s="50">
        <f t="shared" si="1"/>
        <v>0.7759365439414978</v>
      </c>
      <c r="E64" s="9">
        <f t="shared" si="8"/>
        <v>4325.5718896999269</v>
      </c>
      <c r="F64" s="10">
        <v>11180.923682919087</v>
      </c>
      <c r="G64" s="64">
        <f t="shared" si="2"/>
        <v>2.9486003264049154E-2</v>
      </c>
      <c r="H64" s="7">
        <v>2.0000644703312705E-2</v>
      </c>
      <c r="I64" s="1">
        <f t="shared" si="3"/>
        <v>2.7458198639923898E-2</v>
      </c>
      <c r="J64" s="14">
        <f t="shared" si="13"/>
        <v>18.622600795962327</v>
      </c>
      <c r="K64" s="15">
        <f t="shared" si="14"/>
        <v>674.5670739961256</v>
      </c>
      <c r="L64" s="15">
        <f t="shared" si="9"/>
        <v>8305.0980282238597</v>
      </c>
      <c r="M64" s="14">
        <f t="shared" si="4"/>
        <v>0.68972137239244247</v>
      </c>
      <c r="N64" s="14"/>
      <c r="O64" s="12">
        <f t="shared" si="10"/>
        <v>8.6000644703312701E-2</v>
      </c>
      <c r="P64" s="15">
        <f t="shared" si="5"/>
        <v>3114.4117605839474</v>
      </c>
      <c r="Q64" s="15">
        <f t="shared" si="6"/>
        <v>3248.3324702248469</v>
      </c>
      <c r="R64" s="16">
        <f t="shared" si="11"/>
        <v>280290.58597280376</v>
      </c>
      <c r="S64" s="14">
        <f t="shared" si="7"/>
        <v>0.94836688703960836</v>
      </c>
      <c r="T64" s="9"/>
      <c r="U64" s="9"/>
      <c r="V64" s="9">
        <f>VLOOKUP($A64,WageProp_2015!$A:$D,2,FALSE)</f>
        <v>0.7015724778175354</v>
      </c>
      <c r="W64" s="9">
        <f>VLOOKUP($A64,WageProp_2015!$A:$D,3,FALSE)</f>
        <v>0.87025773525238037</v>
      </c>
      <c r="X64" s="9">
        <f>VLOOKUP($A64,WageProp_2015!$A:$D,4,FALSE)</f>
        <v>0.7759365439414978</v>
      </c>
    </row>
    <row r="65" spans="1:24" ht="15.75" thickBot="1">
      <c r="A65" s="9">
        <f t="shared" si="12"/>
        <v>58</v>
      </c>
      <c r="B65" s="9">
        <v>2053</v>
      </c>
      <c r="C65" s="2">
        <v>5789.4116283973426</v>
      </c>
      <c r="D65" s="50">
        <f t="shared" si="1"/>
        <v>0.74986803531646729</v>
      </c>
      <c r="E65" s="9">
        <f t="shared" si="8"/>
        <v>4341.2947234246249</v>
      </c>
      <c r="F65" s="10">
        <v>11501.233312769162</v>
      </c>
      <c r="G65" s="64">
        <f t="shared" si="2"/>
        <v>2.8647868363452567E-2</v>
      </c>
      <c r="H65" s="7">
        <v>2.0000684868341223E-2</v>
      </c>
      <c r="I65" s="1">
        <f t="shared" si="3"/>
        <v>2.7588931551901869E-2</v>
      </c>
      <c r="J65" s="14">
        <f t="shared" si="13"/>
        <v>19.085000688772706</v>
      </c>
      <c r="K65" s="15">
        <f t="shared" si="14"/>
        <v>695.03871731093602</v>
      </c>
      <c r="L65" s="15">
        <f t="shared" si="9"/>
        <v>8335.2858689752793</v>
      </c>
      <c r="M65" s="14">
        <f t="shared" si="4"/>
        <v>0.66654936472574866</v>
      </c>
      <c r="N65" s="14"/>
      <c r="O65" s="12">
        <f t="shared" si="10"/>
        <v>8.6000684868341226E-2</v>
      </c>
      <c r="P65" s="15">
        <f t="shared" si="5"/>
        <v>3125.7322008657297</v>
      </c>
      <c r="Q65" s="15">
        <f t="shared" si="6"/>
        <v>3260.1397558604694</v>
      </c>
      <c r="R65" s="16">
        <f t="shared" si="11"/>
        <v>307655.90808447404</v>
      </c>
      <c r="S65" s="14">
        <f t="shared" si="7"/>
        <v>0.91650537649790442</v>
      </c>
      <c r="T65" s="9"/>
      <c r="U65" s="9"/>
      <c r="V65" s="9">
        <f>VLOOKUP($A65,WageProp_2015!$A:$D,2,FALSE)</f>
        <v>0.69047838449478149</v>
      </c>
      <c r="W65" s="9">
        <f>VLOOKUP($A65,WageProp_2015!$A:$D,3,FALSE)</f>
        <v>0.82851302623748779</v>
      </c>
      <c r="X65" s="9">
        <f>VLOOKUP($A65,WageProp_2015!$A:$D,4,FALSE)</f>
        <v>0.74986803531646729</v>
      </c>
    </row>
    <row r="66" spans="1:24" ht="15.75" thickBot="1">
      <c r="A66" s="9">
        <f t="shared" si="12"/>
        <v>59</v>
      </c>
      <c r="B66" s="9">
        <v>2054</v>
      </c>
      <c r="C66" s="2">
        <v>6011.4910988842539</v>
      </c>
      <c r="D66" s="50">
        <f t="shared" si="1"/>
        <v>0.74995499849319458</v>
      </c>
      <c r="E66" s="9">
        <f t="shared" si="8"/>
        <v>4508.3477980055932</v>
      </c>
      <c r="F66" s="10">
        <v>11830.479714476824</v>
      </c>
      <c r="G66" s="64">
        <f t="shared" si="2"/>
        <v>2.8627051791229929E-2</v>
      </c>
      <c r="H66" s="7">
        <v>2.0000726246814707E-2</v>
      </c>
      <c r="I66" s="1">
        <f t="shared" si="3"/>
        <v>2.6918431664430299E-2</v>
      </c>
      <c r="J66" s="14">
        <f t="shared" si="13"/>
        <v>19.547365146943406</v>
      </c>
      <c r="K66" s="15">
        <f t="shared" si="14"/>
        <v>715.61900474861045</v>
      </c>
      <c r="L66" s="15">
        <f t="shared" si="9"/>
        <v>8656.0277721707389</v>
      </c>
      <c r="M66" s="14">
        <f t="shared" si="4"/>
        <v>0.6666266653272841</v>
      </c>
      <c r="N66" s="14"/>
      <c r="O66" s="12">
        <f t="shared" si="10"/>
        <v>8.6000726246814707E-2</v>
      </c>
      <c r="P66" s="15">
        <f t="shared" si="5"/>
        <v>3246.0104145640271</v>
      </c>
      <c r="Q66" s="15">
        <f t="shared" si="6"/>
        <v>3385.590041092642</v>
      </c>
      <c r="R66" s="16">
        <f t="shared" si="11"/>
        <v>337500.12965495477</v>
      </c>
      <c r="S66" s="14">
        <f t="shared" si="7"/>
        <v>0.91661166482501555</v>
      </c>
      <c r="T66" s="9"/>
      <c r="U66" s="9"/>
      <c r="V66" s="9">
        <f>VLOOKUP($A66,WageProp_2015!$A:$D,2,FALSE)</f>
        <v>0.68754869699478149</v>
      </c>
      <c r="W66" s="9">
        <f>VLOOKUP($A66,WageProp_2015!$A:$D,3,FALSE)</f>
        <v>0.83632528781890869</v>
      </c>
      <c r="X66" s="9">
        <f>VLOOKUP($A66,WageProp_2015!$A:$D,4,FALSE)</f>
        <v>0.74995499849319458</v>
      </c>
    </row>
    <row r="67" spans="1:24" ht="15.75" thickBot="1">
      <c r="A67" s="9">
        <f t="shared" si="12"/>
        <v>60</v>
      </c>
      <c r="B67" s="9">
        <v>2055</v>
      </c>
      <c r="C67" s="2">
        <v>6241.091240737006</v>
      </c>
      <c r="D67" s="50">
        <f t="shared" si="1"/>
        <v>0.74482917785644531</v>
      </c>
      <c r="E67" s="9">
        <f t="shared" si="8"/>
        <v>4648.5468577652064</v>
      </c>
      <c r="F67" s="10">
        <v>12171.193782784512</v>
      </c>
      <c r="G67" s="64">
        <f t="shared" si="2"/>
        <v>2.8799683236070406E-2</v>
      </c>
      <c r="H67" s="7">
        <v>2.0000768838733165E-2</v>
      </c>
      <c r="I67" s="1">
        <f t="shared" si="3"/>
        <v>2.6901786682346884E-2</v>
      </c>
      <c r="J67" s="14">
        <f t="shared" si="13"/>
        <v>20.020638289589918</v>
      </c>
      <c r="K67" s="15">
        <f t="shared" si="14"/>
        <v>736.79557754134908</v>
      </c>
      <c r="L67" s="15">
        <f t="shared" si="9"/>
        <v>8925.2099669091967</v>
      </c>
      <c r="M67" s="14">
        <f t="shared" si="4"/>
        <v>0.66207038031684018</v>
      </c>
      <c r="N67" s="14"/>
      <c r="O67" s="12">
        <f t="shared" si="10"/>
        <v>8.6000768838733171E-2</v>
      </c>
      <c r="P67" s="15">
        <f t="shared" si="5"/>
        <v>3346.9537375909485</v>
      </c>
      <c r="Q67" s="15">
        <f t="shared" si="6"/>
        <v>3490.8740349411946</v>
      </c>
      <c r="R67" s="16">
        <f t="shared" si="11"/>
        <v>370016.27432339423</v>
      </c>
      <c r="S67" s="14">
        <f t="shared" si="7"/>
        <v>0.91034677293565525</v>
      </c>
      <c r="T67" s="9"/>
      <c r="U67" s="9"/>
      <c r="V67" s="9">
        <f>VLOOKUP($A67,WageProp_2015!$A:$D,2,FALSE)</f>
        <v>0.68302184343338013</v>
      </c>
      <c r="W67" s="9">
        <f>VLOOKUP($A67,WageProp_2015!$A:$D,3,FALSE)</f>
        <v>0.83047735691070557</v>
      </c>
      <c r="X67" s="9">
        <f>VLOOKUP($A67,WageProp_2015!$A:$D,4,FALSE)</f>
        <v>0.74482917785644531</v>
      </c>
    </row>
    <row r="68" spans="1:24" ht="15.75" thickBot="1">
      <c r="A68" s="9">
        <f t="shared" si="12"/>
        <v>61</v>
      </c>
      <c r="B68" s="9">
        <v>2056</v>
      </c>
      <c r="C68" s="2">
        <v>6478.4172142619409</v>
      </c>
      <c r="D68" s="50">
        <f t="shared" si="1"/>
        <v>0.73210358619689941</v>
      </c>
      <c r="E68" s="9">
        <f t="shared" si="8"/>
        <v>4742.872475440894</v>
      </c>
      <c r="F68" s="10">
        <v>12535.265738561568</v>
      </c>
      <c r="G68" s="64">
        <f t="shared" si="2"/>
        <v>2.9912592164296647E-2</v>
      </c>
      <c r="H68" s="7">
        <v>2.0000812644096592E-2</v>
      </c>
      <c r="I68" s="1">
        <f t="shared" si="3"/>
        <v>2.7039900356602958E-2</v>
      </c>
      <c r="J68" s="14">
        <f t="shared" si="13"/>
        <v>20.507858747573408</v>
      </c>
      <c r="K68" s="15">
        <f t="shared" si="14"/>
        <v>758.71074444124326</v>
      </c>
      <c r="L68" s="15">
        <f t="shared" si="9"/>
        <v>9106.3151528465169</v>
      </c>
      <c r="M68" s="14">
        <f t="shared" si="4"/>
        <v>0.6507587432861327</v>
      </c>
      <c r="N68" s="14"/>
      <c r="O68" s="12">
        <f t="shared" si="10"/>
        <v>8.6000812644096591E-2</v>
      </c>
      <c r="P68" s="15">
        <f t="shared" si="5"/>
        <v>3414.8681823174438</v>
      </c>
      <c r="Q68" s="15">
        <f t="shared" si="6"/>
        <v>3561.7089016933287</v>
      </c>
      <c r="R68" s="16">
        <f t="shared" si="11"/>
        <v>405399.68350844044</v>
      </c>
      <c r="S68" s="14">
        <f t="shared" si="7"/>
        <v>0.89479327201843262</v>
      </c>
      <c r="T68" s="9"/>
      <c r="U68" s="9"/>
      <c r="V68" s="9">
        <f>VLOOKUP($A68,WageProp_2015!$A:$D,2,FALSE)</f>
        <v>0.67003738880157471</v>
      </c>
      <c r="W68" s="9">
        <f>VLOOKUP($A68,WageProp_2015!$A:$D,3,FALSE)</f>
        <v>0.8164752721786499</v>
      </c>
      <c r="X68" s="9">
        <f>VLOOKUP($A68,WageProp_2015!$A:$D,4,FALSE)</f>
        <v>0.73210358619689941</v>
      </c>
    </row>
    <row r="69" spans="1:24" ht="15.75" thickBot="1">
      <c r="A69" s="9">
        <f t="shared" si="12"/>
        <v>62</v>
      </c>
      <c r="B69" s="9">
        <v>2057</v>
      </c>
      <c r="C69" s="2">
        <v>6723.6833150311759</v>
      </c>
      <c r="D69" s="50">
        <f t="shared" si="1"/>
        <v>0.74191009998321533</v>
      </c>
      <c r="E69" s="9">
        <f t="shared" si="8"/>
        <v>4988.3685605102564</v>
      </c>
      <c r="F69" s="10">
        <v>12939.708228614014</v>
      </c>
      <c r="G69" s="64">
        <f t="shared" si="2"/>
        <v>3.226437304861296E-2</v>
      </c>
      <c r="H69" s="7">
        <v>2.0000857662904988E-2</v>
      </c>
      <c r="I69" s="1">
        <f t="shared" si="3"/>
        <v>2.793023626025664E-2</v>
      </c>
      <c r="J69" s="14">
        <f t="shared" si="13"/>
        <v>21.023369153583936</v>
      </c>
      <c r="K69" s="15">
        <f t="shared" si="14"/>
        <v>782.02081182122629</v>
      </c>
      <c r="L69" s="15">
        <f t="shared" si="9"/>
        <v>9577.6676361796926</v>
      </c>
      <c r="M69" s="14">
        <f t="shared" si="4"/>
        <v>0.65947564442952478</v>
      </c>
      <c r="N69" s="14"/>
      <c r="O69" s="12">
        <f t="shared" si="10"/>
        <v>8.6000857662904995E-2</v>
      </c>
      <c r="P69" s="15">
        <f t="shared" si="5"/>
        <v>3591.6253635673847</v>
      </c>
      <c r="Q69" s="15">
        <f t="shared" si="6"/>
        <v>3746.0667944027036</v>
      </c>
      <c r="R69" s="16">
        <f t="shared" si="11"/>
        <v>444010.47078083927</v>
      </c>
      <c r="S69" s="14">
        <f t="shared" si="7"/>
        <v>0.90677901109059666</v>
      </c>
      <c r="T69" s="9"/>
      <c r="U69" s="9"/>
      <c r="V69" s="9">
        <f>VLOOKUP($A69,WageProp_2015!$A:$D,2,FALSE)</f>
        <v>0.67999911308288574</v>
      </c>
      <c r="W69" s="9">
        <f>VLOOKUP($A69,WageProp_2015!$A:$D,3,FALSE)</f>
        <v>0.82633280754089355</v>
      </c>
      <c r="X69" s="9">
        <f>VLOOKUP($A69,WageProp_2015!$A:$D,4,FALSE)</f>
        <v>0.74191009998321533</v>
      </c>
    </row>
    <row r="70" spans="1:24" ht="15.75" thickBot="1">
      <c r="A70" s="9">
        <f t="shared" si="12"/>
        <v>63</v>
      </c>
      <c r="B70" s="9">
        <v>2058</v>
      </c>
      <c r="C70" s="2">
        <v>6977.1076482179815</v>
      </c>
      <c r="D70" s="50">
        <f t="shared" si="1"/>
        <v>0.6871039867401123</v>
      </c>
      <c r="E70" s="9">
        <f t="shared" si="8"/>
        <v>4793.9984810055039</v>
      </c>
      <c r="F70" s="10">
        <v>13360.336692546149</v>
      </c>
      <c r="G70" s="64">
        <f t="shared" si="2"/>
        <v>3.250679663719036E-2</v>
      </c>
      <c r="H70" s="7">
        <v>2.0000903895158358E-2</v>
      </c>
      <c r="I70" s="1">
        <f t="shared" si="3"/>
        <v>2.9811669971471368E-2</v>
      </c>
      <c r="J70" s="14">
        <f t="shared" si="13"/>
        <v>21.587436722189487</v>
      </c>
      <c r="K70" s="15">
        <f t="shared" si="14"/>
        <v>807.66549280934646</v>
      </c>
      <c r="L70" s="15">
        <f t="shared" si="9"/>
        <v>9204.4770835305681</v>
      </c>
      <c r="M70" s="14">
        <f t="shared" si="4"/>
        <v>0.61075909932454409</v>
      </c>
      <c r="N70" s="14"/>
      <c r="O70" s="12">
        <f t="shared" si="10"/>
        <v>8.6000903895158354E-2</v>
      </c>
      <c r="P70" s="15">
        <f t="shared" si="5"/>
        <v>3451.6789063239621</v>
      </c>
      <c r="Q70" s="15">
        <f t="shared" si="6"/>
        <v>3600.1026592738181</v>
      </c>
      <c r="R70" s="16">
        <f t="shared" si="11"/>
        <v>485795.87526618008</v>
      </c>
      <c r="S70" s="14">
        <f t="shared" si="7"/>
        <v>0.83979376157124819</v>
      </c>
      <c r="T70" s="9"/>
      <c r="U70" s="9"/>
      <c r="V70" s="9">
        <f>VLOOKUP($A70,WageProp_2015!$A:$D,2,FALSE)</f>
        <v>0.61986702680587769</v>
      </c>
      <c r="W70" s="9">
        <f>VLOOKUP($A70,WageProp_2015!$A:$D,3,FALSE)</f>
        <v>0.78164207935333252</v>
      </c>
      <c r="X70" s="9">
        <f>VLOOKUP($A70,WageProp_2015!$A:$D,4,FALSE)</f>
        <v>0.6871039867401123</v>
      </c>
    </row>
    <row r="71" spans="1:24" ht="15.75" thickBot="1">
      <c r="A71" s="9">
        <f t="shared" si="12"/>
        <v>64</v>
      </c>
      <c r="B71" s="9">
        <v>2059</v>
      </c>
      <c r="C71" s="2">
        <v>7238.9096258715135</v>
      </c>
      <c r="D71" s="50">
        <f t="shared" si="1"/>
        <v>0.65744251012802124</v>
      </c>
      <c r="E71" s="9">
        <f t="shared" si="8"/>
        <v>4759.1669150228627</v>
      </c>
      <c r="F71" s="10">
        <v>13823.177960938046</v>
      </c>
      <c r="G71" s="64">
        <f t="shared" si="2"/>
        <v>3.4642934459138353E-2</v>
      </c>
      <c r="H71" s="7">
        <v>2.0000951340856693E-2</v>
      </c>
      <c r="I71" s="1">
        <f t="shared" si="3"/>
        <v>3.0005618088783961E-2</v>
      </c>
      <c r="J71" s="14">
        <f t="shared" si="13"/>
        <v>22.170406665811115</v>
      </c>
      <c r="K71" s="15">
        <f t="shared" si="14"/>
        <v>834.32344536214589</v>
      </c>
      <c r="L71" s="15">
        <f t="shared" si="9"/>
        <v>9137.6004768438961</v>
      </c>
      <c r="M71" s="14">
        <f t="shared" si="4"/>
        <v>0.5843933423360187</v>
      </c>
      <c r="N71" s="14"/>
      <c r="O71" s="12">
        <f t="shared" si="10"/>
        <v>8.6000951340856696E-2</v>
      </c>
      <c r="P71" s="15">
        <f t="shared" si="5"/>
        <v>3426.6001788164613</v>
      </c>
      <c r="Q71" s="15">
        <f t="shared" si="6"/>
        <v>3573.945616437944</v>
      </c>
      <c r="R71" s="17">
        <f t="shared" si="11"/>
        <v>531148.72831297363</v>
      </c>
      <c r="S71" s="14">
        <f t="shared" si="7"/>
        <v>0.80354084571202566</v>
      </c>
      <c r="T71" s="9"/>
      <c r="U71" s="9"/>
      <c r="V71" s="9">
        <f>VLOOKUP($A71,WageProp_2015!$A:$D,2,FALSE)</f>
        <v>0.5898098349571228</v>
      </c>
      <c r="W71" s="9">
        <f>VLOOKUP($A71,WageProp_2015!$A:$D,3,FALSE)</f>
        <v>0.75416845083236694</v>
      </c>
      <c r="X71" s="9">
        <f>VLOOKUP($A71,WageProp_2015!$A:$D,4,FALSE)</f>
        <v>0.65744251012802124</v>
      </c>
    </row>
    <row r="72" spans="1:24" ht="15.75" thickBot="1">
      <c r="A72" s="9">
        <f t="shared" si="12"/>
        <v>65</v>
      </c>
      <c r="B72" s="9">
        <v>2060</v>
      </c>
      <c r="C72" s="2">
        <v>7509.328119226192</v>
      </c>
      <c r="D72" s="50">
        <f t="shared" si="1"/>
        <v>0.63032472133636475</v>
      </c>
      <c r="E72" s="9">
        <f t="shared" si="8"/>
        <v>4733.3151541745774</v>
      </c>
      <c r="F72" s="10">
        <v>14313.973468674627</v>
      </c>
      <c r="G72" s="64">
        <f t="shared" si="2"/>
        <v>3.5505258568144349E-2</v>
      </c>
      <c r="H72" s="7">
        <v>2.0000999999999998E-2</v>
      </c>
      <c r="I72" s="1">
        <f>0.2*H71+(F71/F70-1)*0.8</f>
        <v>3.1714537835482025E-2</v>
      </c>
      <c r="J72" s="14">
        <f t="shared" si="13"/>
        <v>22.803218446738917</v>
      </c>
      <c r="K72" s="15">
        <f t="shared" si="14"/>
        <v>863.42964608461023</v>
      </c>
      <c r="L72" s="15">
        <f t="shared" si="9"/>
        <v>9087.9650960151885</v>
      </c>
      <c r="M72" s="14">
        <f t="shared" si="4"/>
        <v>0.5602886411878798</v>
      </c>
      <c r="N72" s="14">
        <f t="shared" ref="N72:N96" si="15">IF(AND(B72&gt;=$C$4,B72&lt;=($C$4+$C$13-1)),(K72+J72*$C$14)*9+(K71+J71*$C$14)*3,0)</f>
        <v>18887.155679147043</v>
      </c>
      <c r="O72" s="12">
        <f t="shared" si="10"/>
        <v>8.6000999999999994E-2</v>
      </c>
      <c r="P72" s="15">
        <f t="shared" si="5"/>
        <v>3407.9869110056957</v>
      </c>
      <c r="Q72" s="15">
        <f t="shared" si="6"/>
        <v>3554.5320521723961</v>
      </c>
      <c r="R72" s="16">
        <f t="shared" si="11"/>
        <v>580382.58214879001</v>
      </c>
      <c r="S72" s="14">
        <f t="shared" si="7"/>
        <v>0.77039688163333464</v>
      </c>
      <c r="T72" s="9"/>
      <c r="U72" s="9"/>
      <c r="V72" s="9">
        <f>VLOOKUP($A72,WageProp_2015!$A:$D,2,FALSE)</f>
        <v>0.545005202293396</v>
      </c>
      <c r="W72" s="9">
        <f>VLOOKUP($A72,WageProp_2015!$A:$D,3,FALSE)</f>
        <v>0.75304955244064331</v>
      </c>
      <c r="X72" s="9">
        <f>VLOOKUP($A72,WageProp_2015!$A:$D,4,FALSE)</f>
        <v>0.63032472133636475</v>
      </c>
    </row>
    <row r="73" spans="1:24" ht="15.75" thickBot="1">
      <c r="A73" s="9">
        <f t="shared" si="12"/>
        <v>66</v>
      </c>
      <c r="B73" s="9">
        <v>2061</v>
      </c>
      <c r="C73" s="2">
        <v>7788.5979485137686</v>
      </c>
      <c r="E73" s="9"/>
      <c r="F73" s="10">
        <v>14827.30029314364</v>
      </c>
      <c r="G73" s="64">
        <f t="shared" si="2"/>
        <v>3.586193767875856E-2</v>
      </c>
      <c r="H73" s="9"/>
      <c r="I73" s="1">
        <f t="shared" ref="I73:I82" si="16">0.2*H72+(F72/F71-1)*0.8</f>
        <v>3.2404406854515483E-2</v>
      </c>
      <c r="J73" s="14">
        <f t="shared" ref="J73:J85" si="17">((I73*0.9)+1)*J72</f>
        <v>23.468250738065386</v>
      </c>
      <c r="K73" s="15">
        <f t="shared" ref="K73:K85" si="18">((I73*1.1)+1)*K72</f>
        <v>894.20646418078388</v>
      </c>
      <c r="L73" s="9"/>
      <c r="N73" s="14">
        <f t="shared" si="15"/>
        <v>19501.355231432473</v>
      </c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thickBot="1">
      <c r="A74" s="9">
        <f t="shared" si="12"/>
        <v>67</v>
      </c>
      <c r="B74" s="9">
        <v>2062</v>
      </c>
      <c r="C74" s="2">
        <v>8076.9611986532063</v>
      </c>
      <c r="E74" s="9"/>
      <c r="F74" s="10">
        <v>15356.652325069927</v>
      </c>
      <c r="G74" s="64">
        <f t="shared" si="2"/>
        <v>3.5701174283970349E-2</v>
      </c>
      <c r="H74" s="9"/>
      <c r="I74" s="1">
        <f t="shared" si="16"/>
        <v>2.8689550143006851E-2</v>
      </c>
      <c r="J74" s="14">
        <f t="shared" si="17"/>
        <v>24.074214938751933</v>
      </c>
      <c r="K74" s="15">
        <f t="shared" si="18"/>
        <v>922.42628349233087</v>
      </c>
      <c r="L74" s="9"/>
      <c r="N74" s="14">
        <f t="shared" si="15"/>
        <v>20083.767044165783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thickBot="1">
      <c r="A75" s="9">
        <f t="shared" si="12"/>
        <v>68</v>
      </c>
      <c r="B75" s="9">
        <v>2063</v>
      </c>
      <c r="C75" s="2">
        <v>8374.658354409461</v>
      </c>
      <c r="E75" s="9"/>
      <c r="F75" s="10">
        <v>15911.852567192936</v>
      </c>
      <c r="G75" s="64">
        <f t="shared" si="2"/>
        <v>3.6153728714469757E-2</v>
      </c>
      <c r="H75" s="9"/>
      <c r="I75" s="1">
        <f t="shared" si="16"/>
        <v>2.8560939427176281E-2</v>
      </c>
      <c r="J75" s="14">
        <f t="shared" si="17"/>
        <v>24.693038913912197</v>
      </c>
      <c r="K75" s="15">
        <f t="shared" si="18"/>
        <v>951.40618082207675</v>
      </c>
      <c r="L75" s="9"/>
      <c r="N75" s="14">
        <f t="shared" si="15"/>
        <v>20663.400272164712</v>
      </c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thickBot="1">
      <c r="A76" s="9">
        <f t="shared" si="12"/>
        <v>69</v>
      </c>
      <c r="B76" s="9">
        <v>2064</v>
      </c>
      <c r="C76" s="2">
        <v>8681.9414861103705</v>
      </c>
      <c r="E76" s="9"/>
      <c r="F76" s="10">
        <v>16489.084158245372</v>
      </c>
      <c r="G76" s="64">
        <f t="shared" si="2"/>
        <v>3.6276831287550548E-2</v>
      </c>
      <c r="H76" s="9"/>
      <c r="I76" s="1">
        <f t="shared" si="16"/>
        <v>2.8922982971575806E-2</v>
      </c>
      <c r="J76" s="14">
        <f t="shared" si="17"/>
        <v>25.335815623533385</v>
      </c>
      <c r="K76" s="15">
        <f t="shared" si="18"/>
        <v>981.67543606574247</v>
      </c>
      <c r="L76" s="9"/>
      <c r="N76" s="14">
        <f t="shared" si="15"/>
        <v>21264.973844479035</v>
      </c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thickBot="1">
      <c r="A77" s="9">
        <f t="shared" si="12"/>
        <v>70</v>
      </c>
      <c r="B77" s="9">
        <v>2065</v>
      </c>
      <c r="C77" s="2">
        <v>8999.0626074698157</v>
      </c>
      <c r="E77" s="9"/>
      <c r="F77" s="10">
        <v>17079.360806854773</v>
      </c>
      <c r="G77" s="64">
        <f t="shared" si="2"/>
        <v>3.5798025102214748E-2</v>
      </c>
      <c r="H77" s="9"/>
      <c r="I77" s="1">
        <f t="shared" si="16"/>
        <v>2.9021465030040439E-2</v>
      </c>
      <c r="J77" s="14">
        <f t="shared" si="17"/>
        <v>25.997569861946715</v>
      </c>
      <c r="K77" s="15">
        <f t="shared" si="18"/>
        <v>1013.0140613382374</v>
      </c>
      <c r="L77" s="9"/>
      <c r="N77" s="14">
        <f t="shared" si="15"/>
        <v>21887.731259917135</v>
      </c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thickBot="1">
      <c r="A78" s="9">
        <f t="shared" si="12"/>
        <v>71</v>
      </c>
      <c r="B78" s="9">
        <v>2066</v>
      </c>
      <c r="C78" s="2">
        <v>9326.281732006024</v>
      </c>
      <c r="E78" s="9"/>
      <c r="F78" s="10">
        <v>17670.002910939973</v>
      </c>
      <c r="G78" s="64">
        <f t="shared" si="2"/>
        <v>3.4582213629923864E-2</v>
      </c>
      <c r="H78" s="9"/>
      <c r="I78" s="1">
        <f t="shared" si="16"/>
        <v>2.8638420081771799E-2</v>
      </c>
      <c r="J78" s="14">
        <f t="shared" si="17"/>
        <v>26.667646256077187</v>
      </c>
      <c r="K78" s="15">
        <f t="shared" si="18"/>
        <v>1044.9262957993183</v>
      </c>
      <c r="L78" s="9"/>
      <c r="N78" s="14">
        <f t="shared" si="15"/>
        <v>22523.037932031304</v>
      </c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thickBot="1">
      <c r="A79" s="9">
        <f t="shared" si="12"/>
        <v>72</v>
      </c>
      <c r="B79" s="9">
        <v>2067</v>
      </c>
      <c r="C79" s="2">
        <v>9663.8653973454147</v>
      </c>
      <c r="E79" s="9"/>
      <c r="F79" s="10">
        <v>18282.689173489547</v>
      </c>
      <c r="G79" s="64">
        <f t="shared" si="2"/>
        <v>3.4673806543078944E-2</v>
      </c>
      <c r="H79" s="9"/>
      <c r="I79" s="1">
        <f t="shared" si="16"/>
        <v>2.7665770903939093E-2</v>
      </c>
      <c r="J79" s="14">
        <f t="shared" si="17"/>
        <v>27.331649148758316</v>
      </c>
      <c r="K79" s="15">
        <f t="shared" si="18"/>
        <v>1076.7258564615124</v>
      </c>
      <c r="L79" s="9"/>
      <c r="N79" s="14">
        <f t="shared" si="15"/>
        <v>23158.110126946074</v>
      </c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thickBot="1">
      <c r="A80" s="9">
        <f t="shared" si="12"/>
        <v>73</v>
      </c>
      <c r="B80" s="9">
        <v>2068</v>
      </c>
      <c r="C80" s="2">
        <v>10012.084521597664</v>
      </c>
      <c r="E80" s="9"/>
      <c r="F80" s="10">
        <v>18902.659494673269</v>
      </c>
      <c r="G80" s="64">
        <f t="shared" si="2"/>
        <v>3.3910236907746416E-2</v>
      </c>
      <c r="H80" s="9"/>
      <c r="I80" s="1">
        <f t="shared" si="16"/>
        <v>2.7739045234463158E-2</v>
      </c>
      <c r="J80" s="14">
        <f t="shared" si="17"/>
        <v>28.013987615621208</v>
      </c>
      <c r="K80" s="15">
        <f t="shared" si="18"/>
        <v>1109.5799384227646</v>
      </c>
      <c r="L80" s="9"/>
      <c r="N80" s="14">
        <f t="shared" si="15"/>
        <v>23806.988084796416</v>
      </c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14" ht="15.75" thickBot="1">
      <c r="A81" s="9">
        <f t="shared" si="12"/>
        <v>74</v>
      </c>
      <c r="B81" s="9">
        <v>2069</v>
      </c>
      <c r="C81" s="2">
        <v>10371.219836979388</v>
      </c>
      <c r="E81" s="9"/>
      <c r="F81" s="10">
        <v>19538.779340191031</v>
      </c>
      <c r="G81" s="64">
        <f t="shared" si="2"/>
        <v>3.3652399319631154E-2</v>
      </c>
      <c r="H81" s="9"/>
      <c r="I81" s="1">
        <f t="shared" si="16"/>
        <v>2.7128189526197135E-2</v>
      </c>
      <c r="J81" s="14">
        <f t="shared" si="17"/>
        <v>28.697959504500208</v>
      </c>
      <c r="K81" s="15">
        <f t="shared" si="18"/>
        <v>1142.6909227731633</v>
      </c>
      <c r="L81" s="9"/>
      <c r="N81" s="14">
        <f t="shared" si="15"/>
        <v>24463.551239595945</v>
      </c>
    </row>
    <row r="82" spans="1:14" ht="15.75" thickBot="1">
      <c r="A82" s="9">
        <f t="shared" si="12"/>
        <v>75</v>
      </c>
      <c r="B82" s="9">
        <v>2070</v>
      </c>
      <c r="C82" s="61">
        <v>10741.553819541592</v>
      </c>
      <c r="E82" s="9"/>
      <c r="F82" s="62">
        <v>20172.286961905502</v>
      </c>
      <c r="G82" s="64">
        <f t="shared" si="2"/>
        <v>3.242309105827057E-2</v>
      </c>
      <c r="H82" s="9"/>
      <c r="I82" s="1">
        <f t="shared" si="16"/>
        <v>2.6921919455704924E-2</v>
      </c>
      <c r="J82" s="14">
        <f t="shared" si="17"/>
        <v>29.39330324339112</v>
      </c>
      <c r="K82" s="15">
        <f t="shared" si="18"/>
        <v>1176.5306990573938</v>
      </c>
      <c r="L82" s="9"/>
      <c r="N82" s="14">
        <f t="shared" si="15"/>
        <v>25130.843622570392</v>
      </c>
    </row>
    <row r="83" spans="1:14">
      <c r="A83" s="9"/>
      <c r="B83" s="9">
        <v>2071</v>
      </c>
      <c r="C83" s="9"/>
      <c r="E83" s="9"/>
      <c r="F83" s="9"/>
      <c r="G83" s="64">
        <f>G82</f>
        <v>3.242309105827057E-2</v>
      </c>
      <c r="H83" s="9"/>
      <c r="I83" s="1">
        <f>0.2*H82+(F82/F81-1)*0.8</f>
        <v>2.5938472846616458E-2</v>
      </c>
      <c r="J83" s="14">
        <f t="shared" si="17"/>
        <v>30.079478901637074</v>
      </c>
      <c r="K83" s="15">
        <f t="shared" si="18"/>
        <v>1210.0998496071759</v>
      </c>
      <c r="L83" s="9"/>
      <c r="N83" s="14">
        <f t="shared" si="15"/>
        <v>25796.352709825322</v>
      </c>
    </row>
    <row r="84" spans="1:14">
      <c r="A84" s="9"/>
      <c r="B84" s="9">
        <v>2072</v>
      </c>
      <c r="C84" s="9"/>
      <c r="E84" s="9"/>
      <c r="F84" s="9"/>
      <c r="G84" s="64">
        <f t="shared" ref="G84:G96" si="19">G83</f>
        <v>3.242309105827057E-2</v>
      </c>
      <c r="H84" s="9"/>
      <c r="I84" s="1">
        <v>2.5938472846616458E-2</v>
      </c>
      <c r="J84" s="14">
        <f t="shared" si="17"/>
        <v>30.78167307369451</v>
      </c>
      <c r="K84" s="15">
        <f t="shared" si="18"/>
        <v>1244.6268059069794</v>
      </c>
      <c r="L84" s="9"/>
      <c r="N84" s="14">
        <f t="shared" si="15"/>
        <v>26473.368006218057</v>
      </c>
    </row>
    <row r="85" spans="1:14">
      <c r="A85" s="9"/>
      <c r="B85" s="9">
        <v>2073</v>
      </c>
      <c r="C85" s="9"/>
      <c r="E85" s="9"/>
      <c r="F85" s="9"/>
      <c r="G85" s="64">
        <f t="shared" si="19"/>
        <v>3.242309105827057E-2</v>
      </c>
      <c r="H85" s="9"/>
      <c r="I85" s="1">
        <v>2.5938472846616458E-2</v>
      </c>
      <c r="J85" s="14">
        <f t="shared" si="17"/>
        <v>31.500259705770411</v>
      </c>
      <c r="K85" s="15">
        <f t="shared" si="18"/>
        <v>1280.1388963770876</v>
      </c>
      <c r="L85" s="9"/>
      <c r="N85" s="14">
        <f t="shared" si="15"/>
        <v>27168.322448438026</v>
      </c>
    </row>
    <row r="86" spans="1:14">
      <c r="A86" s="9"/>
      <c r="B86" s="9">
        <v>2074</v>
      </c>
      <c r="C86" s="9"/>
      <c r="E86" s="9"/>
      <c r="F86" s="9"/>
      <c r="G86" s="64">
        <f t="shared" si="19"/>
        <v>3.242309105827057E-2</v>
      </c>
      <c r="H86" s="9"/>
      <c r="I86" s="1">
        <v>2.5938472846616458E-2</v>
      </c>
      <c r="J86" s="14">
        <f t="shared" ref="J86:J96" si="20">((I86*0.9)+1)*J85</f>
        <v>32.235621473705947</v>
      </c>
      <c r="K86" s="15">
        <f t="shared" ref="K86:K96" si="21">((I86*1.1)+1)*K85</f>
        <v>1316.6642291810197</v>
      </c>
      <c r="L86" s="9"/>
      <c r="N86" s="14">
        <f t="shared" si="15"/>
        <v>27881.695720715215</v>
      </c>
    </row>
    <row r="87" spans="1:14">
      <c r="A87" s="9"/>
      <c r="B87" s="9">
        <v>2075</v>
      </c>
      <c r="C87" s="9"/>
      <c r="E87" s="9"/>
      <c r="F87" s="9"/>
      <c r="G87" s="64">
        <f t="shared" si="19"/>
        <v>3.242309105827057E-2</v>
      </c>
      <c r="H87" s="9"/>
      <c r="I87" s="1">
        <v>2.5938472846616458E-2</v>
      </c>
      <c r="J87" s="14">
        <f t="shared" si="20"/>
        <v>32.988149986766523</v>
      </c>
      <c r="K87" s="15">
        <f t="shared" si="21"/>
        <v>1354.2317144734152</v>
      </c>
      <c r="L87" s="9"/>
      <c r="N87" s="14">
        <f t="shared" si="15"/>
        <v>28613.980442991917</v>
      </c>
    </row>
    <row r="88" spans="1:14">
      <c r="A88" s="9"/>
      <c r="B88" s="9">
        <v>2076</v>
      </c>
      <c r="C88" s="9"/>
      <c r="E88" s="9"/>
      <c r="F88" s="9"/>
      <c r="G88" s="64">
        <f t="shared" si="19"/>
        <v>3.242309105827057E-2</v>
      </c>
      <c r="H88" s="9"/>
      <c r="I88" s="1">
        <v>2.5938472846616458E-2</v>
      </c>
      <c r="J88" s="14">
        <f t="shared" si="20"/>
        <v>33.758245996189189</v>
      </c>
      <c r="K88" s="15">
        <f t="shared" si="21"/>
        <v>1392.8710872827003</v>
      </c>
      <c r="L88" s="9"/>
      <c r="N88" s="14">
        <f t="shared" si="15"/>
        <v>29365.6825224817</v>
      </c>
    </row>
    <row r="89" spans="1:14">
      <c r="A89" s="9"/>
      <c r="B89" s="9">
        <v>2077</v>
      </c>
      <c r="C89" s="9"/>
      <c r="E89" s="9"/>
      <c r="F89" s="9"/>
      <c r="G89" s="64">
        <f t="shared" si="19"/>
        <v>3.242309105827057E-2</v>
      </c>
      <c r="H89" s="9"/>
      <c r="I89" s="1">
        <v>2.5938472846616458E-2</v>
      </c>
      <c r="J89" s="14">
        <f t="shared" si="20"/>
        <v>34.54631960859858</v>
      </c>
      <c r="K89" s="15">
        <f t="shared" si="21"/>
        <v>1432.6129310466517</v>
      </c>
      <c r="L89" s="9"/>
      <c r="N89" s="14">
        <f t="shared" si="15"/>
        <v>30137.321514849988</v>
      </c>
    </row>
    <row r="90" spans="1:14">
      <c r="A90" s="9"/>
      <c r="B90" s="9">
        <v>2078</v>
      </c>
      <c r="C90" s="9"/>
      <c r="E90" s="9"/>
      <c r="F90" s="9"/>
      <c r="G90" s="64">
        <f t="shared" si="19"/>
        <v>3.242309105827057E-2</v>
      </c>
      <c r="H90" s="9"/>
      <c r="I90" s="1">
        <v>2.5938472846616458E-2</v>
      </c>
      <c r="J90" s="14">
        <f t="shared" si="20"/>
        <v>35.352790504404929</v>
      </c>
      <c r="K90" s="15">
        <f t="shared" si="21"/>
        <v>1473.4887018194836</v>
      </c>
      <c r="L90" s="9"/>
      <c r="N90" s="14">
        <f t="shared" si="15"/>
        <v>30929.430995281196</v>
      </c>
    </row>
    <row r="91" spans="1:14">
      <c r="A91" s="9"/>
      <c r="B91" s="9">
        <v>2079</v>
      </c>
      <c r="C91" s="9"/>
      <c r="E91" s="9"/>
      <c r="F91" s="9"/>
      <c r="G91" s="64">
        <f t="shared" si="19"/>
        <v>3.242309105827057E-2</v>
      </c>
      <c r="H91" s="9"/>
      <c r="I91" s="1">
        <v>2.5938472846616458E-2</v>
      </c>
      <c r="J91" s="14">
        <f t="shared" si="20"/>
        <v>36.178088161300494</v>
      </c>
      <c r="K91" s="15">
        <f t="shared" si="21"/>
        <v>1515.5307531696185</v>
      </c>
      <c r="L91" s="9"/>
      <c r="N91" s="14">
        <f t="shared" si="15"/>
        <v>31742.558939704846</v>
      </c>
    </row>
    <row r="92" spans="1:14">
      <c r="A92" s="9"/>
      <c r="B92" s="9">
        <v>2080</v>
      </c>
      <c r="C92" s="9"/>
      <c r="E92" s="9"/>
      <c r="F92" s="9"/>
      <c r="G92" s="64">
        <f t="shared" si="19"/>
        <v>3.242309105827057E-2</v>
      </c>
      <c r="H92" s="9"/>
      <c r="I92" s="1">
        <v>2.5938472846616458E-2</v>
      </c>
      <c r="J92" s="14">
        <f t="shared" si="20"/>
        <v>37.022652082973437</v>
      </c>
      <c r="K92" s="15">
        <f t="shared" si="21"/>
        <v>1558.7723617878512</v>
      </c>
      <c r="L92" s="9"/>
      <c r="N92" s="14">
        <f t="shared" si="15"/>
        <v>32577.268116460447</v>
      </c>
    </row>
    <row r="93" spans="1:14">
      <c r="A93" s="9"/>
      <c r="B93" s="9">
        <v>2081</v>
      </c>
      <c r="C93" s="9"/>
      <c r="E93" s="9"/>
      <c r="F93" s="9"/>
      <c r="G93" s="64">
        <f t="shared" si="19"/>
        <v>3.242309105827057E-2</v>
      </c>
      <c r="H93" s="9"/>
      <c r="I93" s="1">
        <v>2.5938472846616458E-2</v>
      </c>
      <c r="J93" s="14">
        <f t="shared" si="20"/>
        <v>37.886932033160974</v>
      </c>
      <c r="K93" s="15">
        <f t="shared" si="21"/>
        <v>1603.2477538261708</v>
      </c>
      <c r="L93" s="9"/>
      <c r="N93" s="14">
        <f t="shared" si="15"/>
        <v>33434.136488688731</v>
      </c>
    </row>
    <row r="94" spans="1:14">
      <c r="A94" s="9"/>
      <c r="B94" s="9">
        <v>2082</v>
      </c>
      <c r="C94" s="9"/>
      <c r="E94" s="9"/>
      <c r="F94" s="9"/>
      <c r="G94" s="64">
        <f t="shared" si="19"/>
        <v>3.242309105827057E-2</v>
      </c>
      <c r="H94" s="9"/>
      <c r="I94" s="1">
        <v>2.5938472846616458E-2</v>
      </c>
      <c r="J94" s="14">
        <f t="shared" si="20"/>
        <v>38.771388275166345</v>
      </c>
      <c r="K94" s="15">
        <f t="shared" si="21"/>
        <v>1648.9921319880916</v>
      </c>
      <c r="L94" s="9"/>
      <c r="N94" s="14">
        <f t="shared" si="15"/>
        <v>34313.757627744868</v>
      </c>
    </row>
    <row r="95" spans="1:14">
      <c r="A95" s="9"/>
      <c r="B95" s="9">
        <v>2083</v>
      </c>
      <c r="C95" s="9"/>
      <c r="E95" s="9"/>
      <c r="F95" s="9"/>
      <c r="G95" s="64">
        <f t="shared" si="19"/>
        <v>3.242309105827057E-2</v>
      </c>
      <c r="H95" s="9"/>
      <c r="I95" s="1">
        <v>2.5938472846616458E-2</v>
      </c>
      <c r="J95" s="14">
        <f t="shared" si="20"/>
        <v>39.676491816967264</v>
      </c>
      <c r="K95" s="15">
        <f t="shared" si="21"/>
        <v>1696.0417033919348</v>
      </c>
      <c r="L95" s="9"/>
      <c r="N95" s="14">
        <f t="shared" si="15"/>
        <v>0</v>
      </c>
    </row>
    <row r="96" spans="1:14">
      <c r="A96" s="9"/>
      <c r="B96" s="9">
        <v>2084</v>
      </c>
      <c r="C96" s="9"/>
      <c r="E96" s="9"/>
      <c r="F96" s="9"/>
      <c r="G96" s="64">
        <f t="shared" si="19"/>
        <v>3.242309105827057E-2</v>
      </c>
      <c r="H96" s="9"/>
      <c r="I96" s="1">
        <v>2.5938472846616458E-2</v>
      </c>
      <c r="J96" s="14">
        <f t="shared" si="20"/>
        <v>40.602724662046327</v>
      </c>
      <c r="K96" s="15">
        <f t="shared" si="21"/>
        <v>1744.4337082291117</v>
      </c>
      <c r="L96" s="9"/>
      <c r="N96" s="14">
        <f t="shared" si="1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0F7C-B9D4-4008-8817-B8E642645B44}">
  <dimension ref="B4:N157"/>
  <sheetViews>
    <sheetView topLeftCell="B7" workbookViewId="0" xr3:uid="{62DE2DE3-8185-536C-A457-81FF74DFC033}">
      <selection activeCell="L11" sqref="L11"/>
    </sheetView>
  </sheetViews>
  <sheetFormatPr defaultRowHeight="15"/>
  <cols>
    <col min="11" max="11" width="8.140625" customWidth="1"/>
    <col min="12" max="12" width="9.42578125" bestFit="1" customWidth="1"/>
    <col min="13" max="13" width="10.85546875" bestFit="1" customWidth="1"/>
    <col min="14" max="14" width="9.140625" style="9"/>
  </cols>
  <sheetData>
    <row r="4" spans="2:14"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"/>
      <c r="N4" s="1"/>
    </row>
    <row r="5" spans="2:14">
      <c r="B5" s="9"/>
      <c r="C5" s="9"/>
      <c r="D5" s="9"/>
      <c r="E5" s="9"/>
      <c r="F5" s="9"/>
      <c r="G5" s="9"/>
      <c r="H5" s="9"/>
      <c r="I5" s="9"/>
      <c r="J5" s="9"/>
      <c r="K5" s="12"/>
      <c r="L5" s="12"/>
      <c r="M5" s="1"/>
      <c r="N5" s="1"/>
    </row>
    <row r="6" spans="2:14">
      <c r="B6" s="9"/>
      <c r="C6" s="9"/>
      <c r="D6" s="9"/>
      <c r="E6" s="9"/>
      <c r="F6" s="9"/>
      <c r="G6" s="9"/>
      <c r="H6" s="9"/>
      <c r="I6" s="9"/>
      <c r="J6" s="9"/>
      <c r="K6" s="12"/>
      <c r="L6" s="12"/>
      <c r="M6" s="1"/>
      <c r="N6" s="1"/>
    </row>
    <row r="9" spans="2:14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4">
      <c r="B10" s="70" t="s">
        <v>52</v>
      </c>
      <c r="C10" s="52"/>
      <c r="D10" s="52" t="s">
        <v>3</v>
      </c>
      <c r="E10" s="52" t="s">
        <v>4</v>
      </c>
      <c r="F10" s="52" t="s">
        <v>5</v>
      </c>
      <c r="G10" s="52" t="s">
        <v>53</v>
      </c>
      <c r="H10" s="9"/>
      <c r="I10" s="9"/>
      <c r="J10" s="9"/>
      <c r="K10" s="12"/>
      <c r="L10" s="12"/>
      <c r="M10" s="12"/>
      <c r="N10" s="12"/>
    </row>
    <row r="11" spans="2:14">
      <c r="B11" s="70"/>
      <c r="C11" s="55" t="s">
        <v>7</v>
      </c>
      <c r="D11" s="56">
        <v>1586.2207313129018</v>
      </c>
      <c r="E11" s="57">
        <v>0.21123337615940477</v>
      </c>
      <c r="F11" s="57">
        <v>0.33329798253257559</v>
      </c>
      <c r="G11" s="57">
        <v>3.0221622251259683E-2</v>
      </c>
      <c r="H11" s="9"/>
      <c r="I11" s="9"/>
      <c r="J11" s="9"/>
      <c r="K11" s="12"/>
      <c r="L11" s="12"/>
      <c r="M11" s="12"/>
      <c r="N11" s="12"/>
    </row>
    <row r="12" spans="2:14">
      <c r="B12" s="70"/>
      <c r="C12" s="58" t="s">
        <v>9</v>
      </c>
      <c r="D12" s="59">
        <v>583.84473886588273</v>
      </c>
      <c r="E12" s="60">
        <v>7.7749264594133324E-2</v>
      </c>
      <c r="F12" s="60">
        <v>0.12267792857252161</v>
      </c>
      <c r="G12" s="60">
        <v>1.9873299099256503E-2</v>
      </c>
      <c r="H12" s="9"/>
      <c r="I12" s="9"/>
      <c r="J12" s="9"/>
      <c r="K12" s="12"/>
      <c r="L12" s="12"/>
      <c r="M12" s="12"/>
      <c r="N12" s="12"/>
    </row>
    <row r="13" spans="2:14">
      <c r="B13" s="70"/>
      <c r="C13" s="52" t="s">
        <v>11</v>
      </c>
      <c r="D13" s="54">
        <v>2170.0654701787844</v>
      </c>
      <c r="E13" s="53">
        <v>0.28898264075353808</v>
      </c>
      <c r="F13" s="53">
        <v>0.45597591110509716</v>
      </c>
      <c r="G13" s="53">
        <v>2.7783833616535691E-2</v>
      </c>
      <c r="H13" s="9"/>
      <c r="I13" s="9"/>
      <c r="J13" s="9"/>
      <c r="K13" s="9"/>
      <c r="L13" s="9"/>
      <c r="M13" s="9"/>
    </row>
    <row r="14" spans="2:14">
      <c r="B14" s="70" t="s">
        <v>54</v>
      </c>
      <c r="C14" s="52"/>
      <c r="D14" s="52" t="s">
        <v>3</v>
      </c>
      <c r="E14" s="52" t="s">
        <v>4</v>
      </c>
      <c r="F14" s="52" t="s">
        <v>5</v>
      </c>
      <c r="G14" s="52" t="s">
        <v>53</v>
      </c>
      <c r="H14" s="9"/>
      <c r="I14" s="9"/>
      <c r="J14" s="9"/>
      <c r="K14" s="9"/>
      <c r="L14" s="9"/>
      <c r="M14" s="9"/>
    </row>
    <row r="15" spans="2:14">
      <c r="B15" s="70"/>
      <c r="C15" s="55" t="s">
        <v>7</v>
      </c>
      <c r="D15" s="56">
        <v>1586.2207313129018</v>
      </c>
      <c r="E15" s="57">
        <v>0.21123337615940477</v>
      </c>
      <c r="F15" s="57">
        <v>0.33329798253257559</v>
      </c>
      <c r="G15" s="57">
        <v>3.0221622251259683E-2</v>
      </c>
      <c r="H15" s="9"/>
      <c r="I15" s="9"/>
      <c r="J15" s="9"/>
      <c r="K15" s="9"/>
      <c r="L15" s="9"/>
      <c r="M15" s="9"/>
    </row>
    <row r="16" spans="2:14">
      <c r="B16" s="70"/>
      <c r="C16" s="58" t="s">
        <v>9</v>
      </c>
      <c r="D16" s="59">
        <v>856.96758270046189</v>
      </c>
      <c r="E16" s="60">
        <v>0.11412040719147176</v>
      </c>
      <c r="F16" s="60">
        <v>0.18006672134052376</v>
      </c>
      <c r="G16" s="60">
        <v>3.3144810377556677E-2</v>
      </c>
      <c r="H16" s="9"/>
      <c r="I16" s="9"/>
      <c r="J16" s="9"/>
      <c r="K16" s="9" t="s">
        <v>55</v>
      </c>
      <c r="L16" s="9" t="s">
        <v>56</v>
      </c>
      <c r="M16" s="9" t="s">
        <v>57</v>
      </c>
    </row>
    <row r="17" spans="2:14">
      <c r="B17" s="70"/>
      <c r="C17" s="52" t="s">
        <v>11</v>
      </c>
      <c r="D17" s="54">
        <v>2443.1883140133637</v>
      </c>
      <c r="E17" s="53">
        <v>0.3253537833508765</v>
      </c>
      <c r="F17" s="53">
        <v>0.51336470387309929</v>
      </c>
      <c r="G17" s="53">
        <v>3.1023186387035384E-2</v>
      </c>
      <c r="H17" s="9"/>
      <c r="I17" s="9"/>
      <c r="J17" s="9" t="s">
        <v>58</v>
      </c>
      <c r="K17" s="65">
        <f>D11</f>
        <v>1586.2207313129018</v>
      </c>
      <c r="L17" s="11">
        <f>D12</f>
        <v>583.84473886588273</v>
      </c>
      <c r="M17" s="65">
        <f>K17+L17</f>
        <v>2170.0654701787844</v>
      </c>
      <c r="N17" s="65"/>
    </row>
    <row r="18" spans="2:14">
      <c r="B18" s="70" t="s">
        <v>59</v>
      </c>
      <c r="C18" s="52"/>
      <c r="D18" s="52" t="s">
        <v>3</v>
      </c>
      <c r="E18" s="52" t="s">
        <v>4</v>
      </c>
      <c r="F18" s="52" t="s">
        <v>5</v>
      </c>
      <c r="G18" s="52" t="s">
        <v>53</v>
      </c>
      <c r="H18" s="9"/>
      <c r="I18" s="9"/>
      <c r="J18" s="9" t="s">
        <v>60</v>
      </c>
      <c r="K18" s="65">
        <f>D15</f>
        <v>1586.2207313129018</v>
      </c>
      <c r="L18" s="11">
        <f>D16</f>
        <v>856.96758270046189</v>
      </c>
      <c r="M18" s="65">
        <f t="shared" ref="M18:M21" si="0">K18+L18</f>
        <v>2443.1883140133637</v>
      </c>
      <c r="N18" s="11"/>
    </row>
    <row r="19" spans="2:14">
      <c r="B19" s="70"/>
      <c r="C19" s="55" t="s">
        <v>7</v>
      </c>
      <c r="D19" s="56">
        <v>1586.2207313129018</v>
      </c>
      <c r="E19" s="57">
        <v>0.21123337615940477</v>
      </c>
      <c r="F19" s="57">
        <v>0.33329798253257559</v>
      </c>
      <c r="G19" s="57">
        <v>3.0221622251259683E-2</v>
      </c>
      <c r="H19" s="9"/>
      <c r="I19" s="9"/>
      <c r="J19" s="9" t="s">
        <v>61</v>
      </c>
      <c r="K19" s="65">
        <f>D19</f>
        <v>1586.2207313129018</v>
      </c>
      <c r="L19" s="11">
        <f>D20</f>
        <v>1307.9288695478729</v>
      </c>
      <c r="M19" s="65">
        <f t="shared" si="0"/>
        <v>2894.1496008607746</v>
      </c>
      <c r="N19" s="11"/>
    </row>
    <row r="20" spans="2:14">
      <c r="B20" s="70"/>
      <c r="C20" s="58" t="s">
        <v>9</v>
      </c>
      <c r="D20" s="59">
        <v>1307.9288695478729</v>
      </c>
      <c r="E20" s="60">
        <v>0.17417388730147138</v>
      </c>
      <c r="F20" s="60">
        <v>0.27482307153784491</v>
      </c>
      <c r="G20" s="60">
        <v>4.7424613335205423E-2</v>
      </c>
      <c r="H20" s="9"/>
      <c r="I20" s="1"/>
      <c r="J20" s="9" t="s">
        <v>62</v>
      </c>
      <c r="K20" s="65">
        <f>K25*0.06*1.3+K17</f>
        <v>2113.3525313129016</v>
      </c>
      <c r="L20" s="11"/>
      <c r="M20" s="65">
        <f t="shared" si="0"/>
        <v>2113.3525313129016</v>
      </c>
    </row>
    <row r="21" spans="2:14">
      <c r="B21" s="70"/>
      <c r="C21" s="52" t="s">
        <v>11</v>
      </c>
      <c r="D21" s="54">
        <v>2894.1496008607746</v>
      </c>
      <c r="E21" s="53">
        <v>0.38540726346087617</v>
      </c>
      <c r="F21" s="53">
        <v>0.6081210540704205</v>
      </c>
      <c r="G21" s="53">
        <v>3.5765911472829037E-2</v>
      </c>
      <c r="H21" s="9"/>
      <c r="I21" s="9"/>
      <c r="J21" s="9" t="s">
        <v>63</v>
      </c>
      <c r="K21" s="65">
        <f>Calculations!$C$72*Calculations!C7*(0.22-K28)*1.3+K17</f>
        <v>1932.8317451282774</v>
      </c>
      <c r="L21" s="9"/>
      <c r="M21" s="65">
        <f t="shared" si="0"/>
        <v>1932.8317451282774</v>
      </c>
    </row>
    <row r="23" spans="2:14">
      <c r="B23" s="9"/>
      <c r="C23" s="9"/>
      <c r="D23" s="9"/>
      <c r="E23" s="9"/>
      <c r="F23" s="9"/>
      <c r="G23" s="9"/>
      <c r="H23" s="65"/>
      <c r="I23" s="16"/>
      <c r="J23" s="9" t="s">
        <v>64</v>
      </c>
      <c r="K23" s="9">
        <v>360000</v>
      </c>
      <c r="L23" s="9"/>
      <c r="M23" s="9"/>
    </row>
    <row r="24" spans="2:14">
      <c r="B24" s="9"/>
      <c r="C24" s="9"/>
      <c r="D24" s="9"/>
      <c r="E24" s="9"/>
      <c r="F24" s="9"/>
      <c r="G24" s="9"/>
      <c r="H24" s="9"/>
      <c r="I24" s="9"/>
      <c r="J24" s="9" t="s">
        <v>65</v>
      </c>
      <c r="K24" s="9">
        <f>K23*1.3</f>
        <v>468000</v>
      </c>
      <c r="L24" s="9"/>
      <c r="M24" s="9"/>
    </row>
    <row r="25" spans="2:14">
      <c r="B25" s="9"/>
      <c r="C25" s="9"/>
      <c r="D25" s="9"/>
      <c r="E25" s="9"/>
      <c r="F25" s="9"/>
      <c r="G25" s="9"/>
      <c r="H25" s="9"/>
      <c r="I25" s="9"/>
      <c r="J25" s="9" t="s">
        <v>66</v>
      </c>
      <c r="K25" s="9">
        <f>7509*0.9</f>
        <v>6758.1</v>
      </c>
      <c r="L25" s="9"/>
      <c r="M25" s="9"/>
    </row>
    <row r="26" spans="2:14">
      <c r="B26" s="9"/>
      <c r="C26" s="9"/>
      <c r="D26" s="9"/>
      <c r="E26" s="9"/>
      <c r="F26" s="9"/>
      <c r="G26" s="9"/>
      <c r="H26" s="9"/>
      <c r="I26" s="9"/>
      <c r="J26" s="9"/>
      <c r="K26" s="9" t="s">
        <v>67</v>
      </c>
      <c r="L26" s="9" t="s">
        <v>68</v>
      </c>
      <c r="M26" s="9"/>
    </row>
    <row r="27" spans="2:14">
      <c r="B27" s="9"/>
      <c r="C27" s="9"/>
      <c r="D27" s="9"/>
      <c r="E27" s="9"/>
      <c r="F27" s="9"/>
      <c r="G27" s="9"/>
      <c r="H27" s="9"/>
      <c r="I27" s="9"/>
      <c r="J27" s="9"/>
      <c r="K27" s="9">
        <f>K25*0.16*K24/1000000</f>
        <v>506.04652800000002</v>
      </c>
      <c r="L27" s="66">
        <f>K23*K17/1000000</f>
        <v>571.03946327264464</v>
      </c>
      <c r="M27" s="9"/>
    </row>
    <row r="28" spans="2:14">
      <c r="B28" s="9"/>
      <c r="C28" s="9"/>
      <c r="D28" s="9"/>
      <c r="E28" s="9"/>
      <c r="F28" s="9"/>
      <c r="G28" s="9"/>
      <c r="H28" s="9"/>
      <c r="I28" s="9"/>
      <c r="J28" s="9"/>
      <c r="K28" s="1">
        <f>L27*1000000/K25/K24</f>
        <v>0.18054923622284619</v>
      </c>
      <c r="L28" s="9"/>
      <c r="M28" s="9"/>
    </row>
    <row r="37" spans="5:6">
      <c r="E37" s="9" t="s">
        <v>69</v>
      </c>
      <c r="F37" s="9" t="s">
        <v>70</v>
      </c>
    </row>
    <row r="38" spans="5:6">
      <c r="E38" s="9">
        <f>WageProp_2015!A2</f>
        <v>18</v>
      </c>
      <c r="F38" s="9">
        <f>VLOOKUP($E38,WageProp_2015!$A$1:$D$54,4,FALSE)/0.9</f>
        <v>0.10282515651649898</v>
      </c>
    </row>
    <row r="39" spans="5:6">
      <c r="E39" s="9">
        <f>WageProp_2015!A3</f>
        <v>19</v>
      </c>
      <c r="F39" s="9">
        <f>VLOOKUP($E39,WageProp_2015!$A$1:$D$54,4,FALSE)/0.9</f>
        <v>0.17371641265021429</v>
      </c>
    </row>
    <row r="40" spans="5:6">
      <c r="E40" s="9">
        <f>WageProp_2015!A4</f>
        <v>20</v>
      </c>
      <c r="F40" s="9">
        <f>VLOOKUP($E40,WageProp_2015!$A$1:$D$54,4,FALSE)/0.9</f>
        <v>0.27541036407152814</v>
      </c>
    </row>
    <row r="41" spans="5:6">
      <c r="E41" s="9">
        <f>WageProp_2015!A5</f>
        <v>21</v>
      </c>
      <c r="F41" s="9">
        <f>VLOOKUP($E41,WageProp_2015!$A$1:$D$54,4,FALSE)/0.9</f>
        <v>0.35785572396384346</v>
      </c>
    </row>
    <row r="42" spans="5:6">
      <c r="E42" s="9">
        <f>WageProp_2015!A6</f>
        <v>22</v>
      </c>
      <c r="F42" s="9">
        <f>VLOOKUP($E42,WageProp_2015!$A$1:$D$54,4,FALSE)/0.9</f>
        <v>0.43284412887361312</v>
      </c>
    </row>
    <row r="43" spans="5:6">
      <c r="E43" s="9">
        <f>WageProp_2015!A7</f>
        <v>23</v>
      </c>
      <c r="F43" s="9">
        <f>VLOOKUP($E43,WageProp_2015!$A$1:$D$54,4,FALSE)/0.9</f>
        <v>0.52946478128433228</v>
      </c>
    </row>
    <row r="44" spans="5:6">
      <c r="E44" s="9">
        <f>WageProp_2015!A8</f>
        <v>24</v>
      </c>
      <c r="F44" s="9">
        <f>VLOOKUP($E44,WageProp_2015!$A$1:$D$54,4,FALSE)/0.9</f>
        <v>0.63062118159400093</v>
      </c>
    </row>
    <row r="45" spans="5:6">
      <c r="E45" s="9">
        <f>WageProp_2015!A9</f>
        <v>25</v>
      </c>
      <c r="F45" s="9">
        <f>VLOOKUP($E45,WageProp_2015!$A$1:$D$54,4,FALSE)/0.9</f>
        <v>0.73825034830305314</v>
      </c>
    </row>
    <row r="46" spans="5:6">
      <c r="E46" s="9">
        <f>WageProp_2015!A10</f>
        <v>26</v>
      </c>
      <c r="F46" s="9">
        <f>VLOOKUP($E46,WageProp_2015!$A$1:$D$54,4,FALSE)/0.9</f>
        <v>0.80689575937059188</v>
      </c>
    </row>
    <row r="47" spans="5:6">
      <c r="E47" s="9">
        <f>WageProp_2015!A11</f>
        <v>27</v>
      </c>
      <c r="F47" s="9">
        <f>VLOOKUP($E47,WageProp_2015!$A$1:$D$54,4,FALSE)/0.9</f>
        <v>0.85872113704681396</v>
      </c>
    </row>
    <row r="48" spans="5:6">
      <c r="E48" s="9">
        <f>WageProp_2015!A12</f>
        <v>28</v>
      </c>
      <c r="F48" s="9">
        <f>VLOOKUP($E48,WageProp_2015!$A$1:$D$54,4,FALSE)/0.9</f>
        <v>0.90159647994571257</v>
      </c>
    </row>
    <row r="49" spans="5:6">
      <c r="E49" s="9">
        <f>WageProp_2015!A13</f>
        <v>29</v>
      </c>
      <c r="F49" s="9">
        <f>VLOOKUP($E49,WageProp_2015!$A$1:$D$54,4,FALSE)/0.9</f>
        <v>0.93647294574313689</v>
      </c>
    </row>
    <row r="50" spans="5:6">
      <c r="E50" s="9">
        <f>WageProp_2015!A14</f>
        <v>30</v>
      </c>
      <c r="F50" s="9">
        <f>VLOOKUP($E50,WageProp_2015!$A$1:$D$54,4,FALSE)/0.9</f>
        <v>0.95692144499884713</v>
      </c>
    </row>
    <row r="51" spans="5:6">
      <c r="E51" s="9">
        <f>WageProp_2015!A15</f>
        <v>31</v>
      </c>
      <c r="F51" s="9">
        <f>VLOOKUP($E51,WageProp_2015!$A$1:$D$54,4,FALSE)/0.9</f>
        <v>0.98832348982493079</v>
      </c>
    </row>
    <row r="52" spans="5:6">
      <c r="E52" s="9">
        <f>WageProp_2015!A16</f>
        <v>32</v>
      </c>
      <c r="F52" s="9">
        <f>VLOOKUP($E52,WageProp_2015!$A$1:$D$54,4,FALSE)/0.9</f>
        <v>1.0166435771518283</v>
      </c>
    </row>
    <row r="53" spans="5:6">
      <c r="E53" s="9">
        <f>WageProp_2015!A17</f>
        <v>33</v>
      </c>
      <c r="F53" s="9">
        <f>VLOOKUP($E53,WageProp_2015!$A$1:$D$54,4,FALSE)/0.9</f>
        <v>1.0467680957582262</v>
      </c>
    </row>
    <row r="54" spans="5:6">
      <c r="E54" s="9">
        <f>WageProp_2015!A18</f>
        <v>34</v>
      </c>
      <c r="F54" s="9">
        <f>VLOOKUP($E54,WageProp_2015!$A$1:$D$54,4,FALSE)/0.9</f>
        <v>1.0559636354446411</v>
      </c>
    </row>
    <row r="55" spans="5:6">
      <c r="E55" s="9">
        <f>WageProp_2015!A19</f>
        <v>35</v>
      </c>
      <c r="F55" s="9">
        <f>VLOOKUP($E55,WageProp_2015!$A$1:$D$54,4,FALSE)/0.9</f>
        <v>1.080448693699307</v>
      </c>
    </row>
    <row r="56" spans="5:6">
      <c r="E56" s="9">
        <f>WageProp_2015!A20</f>
        <v>36</v>
      </c>
      <c r="F56" s="9">
        <f>VLOOKUP($E56,WageProp_2015!$A$1:$D$54,4,FALSE)/0.9</f>
        <v>1.0937941074371338</v>
      </c>
    </row>
    <row r="57" spans="5:6">
      <c r="E57" s="9">
        <f>WageProp_2015!A21</f>
        <v>37</v>
      </c>
      <c r="F57" s="9">
        <f>VLOOKUP($E57,WageProp_2015!$A$1:$D$54,4,FALSE)/0.9</f>
        <v>1.1077006657918294</v>
      </c>
    </row>
    <row r="58" spans="5:6">
      <c r="E58" s="9">
        <f>WageProp_2015!A22</f>
        <v>38</v>
      </c>
      <c r="F58" s="9">
        <f>VLOOKUP($E58,WageProp_2015!$A$1:$D$54,4,FALSE)/0.9</f>
        <v>1.1076841089460585</v>
      </c>
    </row>
    <row r="59" spans="5:6">
      <c r="E59" s="9">
        <f>WageProp_2015!A23</f>
        <v>39</v>
      </c>
      <c r="F59" s="9">
        <f>VLOOKUP($E59,WageProp_2015!$A$1:$D$54,4,FALSE)/0.9</f>
        <v>1.1054974794387817</v>
      </c>
    </row>
    <row r="60" spans="5:6">
      <c r="E60" s="9">
        <f>WageProp_2015!A24</f>
        <v>40</v>
      </c>
      <c r="F60" s="9">
        <f>VLOOKUP($E60,WageProp_2015!$A$1:$D$54,4,FALSE)/0.9</f>
        <v>1.0987694395913017</v>
      </c>
    </row>
    <row r="61" spans="5:6">
      <c r="E61" s="9">
        <f>WageProp_2015!A25</f>
        <v>41</v>
      </c>
      <c r="F61" s="9">
        <f>VLOOKUP($E61,WageProp_2015!$A$1:$D$54,4,FALSE)/0.9</f>
        <v>1.1073120435078938</v>
      </c>
    </row>
    <row r="62" spans="5:6">
      <c r="E62" s="9">
        <f>WageProp_2015!A26</f>
        <v>42</v>
      </c>
      <c r="F62" s="9">
        <f>VLOOKUP($E62,WageProp_2015!$A$1:$D$54,4,FALSE)/0.9</f>
        <v>1.0749280452728271</v>
      </c>
    </row>
    <row r="63" spans="5:6">
      <c r="E63" s="9">
        <f>WageProp_2015!A27</f>
        <v>43</v>
      </c>
      <c r="F63" s="9">
        <f>VLOOKUP($E63,WageProp_2015!$A$1:$D$54,4,FALSE)/0.9</f>
        <v>1.0771254036161635</v>
      </c>
    </row>
    <row r="64" spans="5:6">
      <c r="E64" s="9">
        <f>WageProp_2015!A28</f>
        <v>44</v>
      </c>
      <c r="F64" s="9">
        <f>VLOOKUP($E64,WageProp_2015!$A$1:$D$54,4,FALSE)/0.9</f>
        <v>1.082451475991143</v>
      </c>
    </row>
    <row r="65" spans="5:6">
      <c r="E65" s="9">
        <f>WageProp_2015!A29</f>
        <v>45</v>
      </c>
      <c r="F65" s="9">
        <f>VLOOKUP($E65,WageProp_2015!$A$1:$D$54,4,FALSE)/0.9</f>
        <v>1.0699954960081313</v>
      </c>
    </row>
    <row r="66" spans="5:6">
      <c r="E66" s="9">
        <f>WageProp_2015!A30</f>
        <v>46</v>
      </c>
      <c r="F66" s="9">
        <f>VLOOKUP($E66,WageProp_2015!$A$1:$D$54,4,FALSE)/0.9</f>
        <v>1.0616339577568901</v>
      </c>
    </row>
    <row r="67" spans="5:6">
      <c r="E67" s="9">
        <f>WageProp_2015!A31</f>
        <v>47</v>
      </c>
      <c r="F67" s="9">
        <f>VLOOKUP($E67,WageProp_2015!$A$1:$D$54,4,FALSE)/0.9</f>
        <v>1.0309769709904988</v>
      </c>
    </row>
    <row r="68" spans="5:6">
      <c r="E68" s="9">
        <f>WageProp_2015!A32</f>
        <v>48</v>
      </c>
      <c r="F68" s="9">
        <f>VLOOKUP($E68,WageProp_2015!$A$1:$D$54,4,FALSE)/0.9</f>
        <v>1.0209473636415269</v>
      </c>
    </row>
    <row r="69" spans="5:6">
      <c r="E69" s="9">
        <f>WageProp_2015!A33</f>
        <v>49</v>
      </c>
      <c r="F69" s="9">
        <f>VLOOKUP($E69,WageProp_2015!$A$1:$D$54,4,FALSE)/0.9</f>
        <v>1.0313291682137382</v>
      </c>
    </row>
    <row r="70" spans="5:6">
      <c r="E70" s="9">
        <f>WageProp_2015!A34</f>
        <v>50</v>
      </c>
      <c r="F70" s="9">
        <f>VLOOKUP($E70,WageProp_2015!$A$1:$D$54,4,FALSE)/0.9</f>
        <v>0.99765711360507536</v>
      </c>
    </row>
    <row r="71" spans="5:6">
      <c r="E71" s="9">
        <f>WageProp_2015!A35</f>
        <v>51</v>
      </c>
      <c r="F71" s="9">
        <f>VLOOKUP($E71,WageProp_2015!$A$1:$D$54,4,FALSE)/0.9</f>
        <v>0.97454620732201469</v>
      </c>
    </row>
    <row r="72" spans="5:6">
      <c r="E72" s="9">
        <f>WageProp_2015!A36</f>
        <v>52</v>
      </c>
      <c r="F72" s="9">
        <f>VLOOKUP($E72,WageProp_2015!$A$1:$D$54,4,FALSE)/0.9</f>
        <v>0.95117814011043966</v>
      </c>
    </row>
    <row r="73" spans="5:6">
      <c r="E73" s="9">
        <f>WageProp_2015!A37</f>
        <v>53</v>
      </c>
      <c r="F73" s="9">
        <f>VLOOKUP($E73,WageProp_2015!$A$1:$D$54,4,FALSE)/0.9</f>
        <v>0.92420438925425208</v>
      </c>
    </row>
    <row r="74" spans="5:6">
      <c r="E74" s="9">
        <f>WageProp_2015!A38</f>
        <v>54</v>
      </c>
      <c r="F74" s="9">
        <f>VLOOKUP($E74,WageProp_2015!$A$1:$D$54,4,FALSE)/0.9</f>
        <v>0.89964780542585587</v>
      </c>
    </row>
    <row r="75" spans="5:6">
      <c r="E75" s="9">
        <f>WageProp_2015!A39</f>
        <v>55</v>
      </c>
      <c r="F75" s="9">
        <f>VLOOKUP($E75,WageProp_2015!$A$1:$D$54,4,FALSE)/0.9</f>
        <v>0.89104480213589132</v>
      </c>
    </row>
    <row r="76" spans="5:6">
      <c r="E76" s="9">
        <f>WageProp_2015!A40</f>
        <v>56</v>
      </c>
      <c r="F76" s="9">
        <f>VLOOKUP($E76,WageProp_2015!$A$1:$D$54,4,FALSE)/0.9</f>
        <v>0.87765230072869194</v>
      </c>
    </row>
    <row r="77" spans="5:6">
      <c r="E77" s="9">
        <f>WageProp_2015!A41</f>
        <v>57</v>
      </c>
      <c r="F77" s="9">
        <f>VLOOKUP($E77,WageProp_2015!$A$1:$D$54,4,FALSE)/0.9</f>
        <v>0.86215171549055314</v>
      </c>
    </row>
    <row r="78" spans="5:6">
      <c r="E78" s="9">
        <f>WageProp_2015!A42</f>
        <v>58</v>
      </c>
      <c r="F78" s="9">
        <f>VLOOKUP($E78,WageProp_2015!$A$1:$D$54,4,FALSE)/0.9</f>
        <v>0.8331867059071858</v>
      </c>
    </row>
    <row r="79" spans="5:6">
      <c r="E79" s="9">
        <f>WageProp_2015!A43</f>
        <v>59</v>
      </c>
      <c r="F79" s="9">
        <f>VLOOKUP($E79,WageProp_2015!$A$1:$D$54,4,FALSE)/0.9</f>
        <v>0.83328333165910506</v>
      </c>
    </row>
    <row r="80" spans="5:6">
      <c r="E80" s="9">
        <f>WageProp_2015!A44</f>
        <v>60</v>
      </c>
      <c r="F80" s="9">
        <f>VLOOKUP($E80,WageProp_2015!$A$1:$D$54,4,FALSE)/0.9</f>
        <v>0.82758797539605033</v>
      </c>
    </row>
    <row r="81" spans="5:6">
      <c r="E81" s="9">
        <f>WageProp_2015!A45</f>
        <v>61</v>
      </c>
      <c r="F81" s="9">
        <f>VLOOKUP($E81,WageProp_2015!$A$1:$D$54,4,FALSE)/0.9</f>
        <v>0.81344842910766602</v>
      </c>
    </row>
    <row r="82" spans="5:6">
      <c r="E82" s="9">
        <f>WageProp_2015!A46</f>
        <v>62</v>
      </c>
      <c r="F82" s="9">
        <f>VLOOKUP($E82,WageProp_2015!$A$1:$D$54,4,FALSE)/0.9</f>
        <v>0.82434455553690589</v>
      </c>
    </row>
    <row r="83" spans="5:6">
      <c r="E83" s="9">
        <f>WageProp_2015!A47</f>
        <v>63</v>
      </c>
      <c r="F83" s="9">
        <f>VLOOKUP($E83,WageProp_2015!$A$1:$D$54,4,FALSE)/0.9</f>
        <v>0.7634488741556803</v>
      </c>
    </row>
    <row r="84" spans="5:6">
      <c r="E84" s="9">
        <f>WageProp_2015!A48</f>
        <v>64</v>
      </c>
      <c r="F84" s="9">
        <f>VLOOKUP($E84,WageProp_2015!$A$1:$D$54,4,FALSE)/0.9</f>
        <v>0.73049167792002356</v>
      </c>
    </row>
    <row r="85" spans="5:6">
      <c r="E85" s="9">
        <f>WageProp_2015!A49</f>
        <v>65</v>
      </c>
      <c r="F85" s="9">
        <f>VLOOKUP($E85,WageProp_2015!$A$1:$D$54,4,FALSE)/0.9</f>
        <v>0.70036080148484969</v>
      </c>
    </row>
    <row r="86" spans="5:6">
      <c r="E86" s="9">
        <f>WageProp_2015!A50</f>
        <v>66</v>
      </c>
      <c r="F86" s="9">
        <f>VLOOKUP($E86,WageProp_2015!$A$1:$D$54,4,FALSE)/0.9</f>
        <v>0.65027422375149191</v>
      </c>
    </row>
    <row r="87" spans="5:6">
      <c r="E87" s="9">
        <f>WageProp_2015!A51</f>
        <v>67</v>
      </c>
      <c r="F87" s="9">
        <f>VLOOKUP($E87,WageProp_2015!$A$1:$D$54,4,FALSE)/0.9</f>
        <v>0.63441144095526802</v>
      </c>
    </row>
    <row r="88" spans="5:6">
      <c r="E88" s="9">
        <f>WageProp_2015!A52</f>
        <v>68</v>
      </c>
      <c r="F88" s="9">
        <f>VLOOKUP($E88,WageProp_2015!$A$1:$D$54,4,FALSE)/0.9</f>
        <v>0.61060316032833517</v>
      </c>
    </row>
    <row r="89" spans="5:6">
      <c r="E89" s="9">
        <f>WageProp_2015!A53</f>
        <v>69</v>
      </c>
      <c r="F89" s="9">
        <f>VLOOKUP($E89,WageProp_2015!$A$1:$D$54,4,FALSE)/0.9</f>
        <v>0.56500600443945992</v>
      </c>
    </row>
    <row r="90" spans="5:6">
      <c r="E90" s="9">
        <f>WageProp_2015!A54</f>
        <v>70</v>
      </c>
      <c r="F90" s="9">
        <f>VLOOKUP($E90,WageProp_2015!$A$1:$D$54,4,FALSE)/0.9</f>
        <v>0.5443659755918715</v>
      </c>
    </row>
    <row r="91" spans="5:6">
      <c r="E91" s="9"/>
      <c r="F91" s="9"/>
    </row>
    <row r="92" spans="5:6">
      <c r="E92" s="9"/>
      <c r="F92" s="9"/>
    </row>
    <row r="93" spans="5:6">
      <c r="E93" s="9"/>
      <c r="F93" s="9"/>
    </row>
    <row r="94" spans="5:6">
      <c r="E94" s="9"/>
      <c r="F94" s="9"/>
    </row>
    <row r="95" spans="5:6">
      <c r="E95" s="9"/>
      <c r="F95" s="9"/>
    </row>
    <row r="96" spans="5:6">
      <c r="E96" s="9"/>
      <c r="F96" s="9"/>
    </row>
    <row r="97" spans="5:5">
      <c r="E97" s="9"/>
    </row>
    <row r="98" spans="5:5">
      <c r="E98" s="9"/>
    </row>
    <row r="99" spans="5:5">
      <c r="E99" s="9"/>
    </row>
    <row r="100" spans="5:5">
      <c r="E100" s="9"/>
    </row>
    <row r="101" spans="5:5">
      <c r="E101" s="9"/>
    </row>
    <row r="102" spans="5:5">
      <c r="E102" s="9"/>
    </row>
    <row r="103" spans="5:5">
      <c r="E103" s="9"/>
    </row>
    <row r="104" spans="5:5">
      <c r="E104" s="9"/>
    </row>
    <row r="105" spans="5:5">
      <c r="E105" s="9"/>
    </row>
    <row r="106" spans="5:5">
      <c r="E106" s="9"/>
    </row>
    <row r="107" spans="5:5">
      <c r="E107" s="9"/>
    </row>
    <row r="108" spans="5:5">
      <c r="E108" s="9"/>
    </row>
    <row r="109" spans="5:5">
      <c r="E109" s="9"/>
    </row>
    <row r="110" spans="5:5">
      <c r="E110" s="9"/>
    </row>
    <row r="111" spans="5:5">
      <c r="E111" s="9"/>
    </row>
    <row r="112" spans="5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</sheetData>
  <mergeCells count="3">
    <mergeCell ref="B14:B17"/>
    <mergeCell ref="B10:B13"/>
    <mergeCell ref="B18:B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005E-B11C-45DB-8CF2-43ACC46D566D}">
  <dimension ref="A1:D54"/>
  <sheetViews>
    <sheetView tabSelected="1" workbookViewId="0" xr3:uid="{B8BFBAA3-EFD4-57E7-882A-2D1AEA3BD56C}">
      <selection activeCell="G12" sqref="G12"/>
    </sheetView>
  </sheetViews>
  <sheetFormatPr defaultRowHeight="15"/>
  <sheetData>
    <row r="1" spans="1:4">
      <c r="A1" s="9" t="s">
        <v>69</v>
      </c>
      <c r="B1" s="9" t="s">
        <v>71</v>
      </c>
      <c r="C1" s="9" t="s">
        <v>72</v>
      </c>
      <c r="D1" s="9" t="s">
        <v>73</v>
      </c>
    </row>
    <row r="2" spans="1:4">
      <c r="A2" s="9">
        <v>18</v>
      </c>
      <c r="B2" s="9">
        <v>8.81047323346138E-2</v>
      </c>
      <c r="C2" s="9">
        <v>9.7902648150920868E-2</v>
      </c>
      <c r="D2" s="9">
        <v>9.2542640864849091E-2</v>
      </c>
    </row>
    <row r="3" spans="1:4">
      <c r="A3" s="9">
        <v>19</v>
      </c>
      <c r="B3" s="9">
        <v>0.14560291171073914</v>
      </c>
      <c r="C3" s="9">
        <v>0.16863024234771729</v>
      </c>
      <c r="D3" s="9">
        <v>0.15634477138519287</v>
      </c>
    </row>
    <row r="4" spans="1:4">
      <c r="A4" s="9">
        <v>20</v>
      </c>
      <c r="B4" s="9">
        <v>0.22748535871505737</v>
      </c>
      <c r="C4" s="9">
        <v>0.26980578899383545</v>
      </c>
      <c r="D4" s="9">
        <v>0.24786932766437531</v>
      </c>
    </row>
    <row r="5" spans="1:4">
      <c r="A5" s="9">
        <v>21</v>
      </c>
      <c r="B5" s="9">
        <v>0.2820344865322113</v>
      </c>
      <c r="C5" s="9">
        <v>0.36286053061485291</v>
      </c>
      <c r="D5" s="9">
        <v>0.32207015156745911</v>
      </c>
    </row>
    <row r="6" spans="1:4">
      <c r="A6" s="9">
        <v>22</v>
      </c>
      <c r="B6" s="9">
        <v>0.35461136698722839</v>
      </c>
      <c r="C6" s="9">
        <v>0.4214598536491394</v>
      </c>
      <c r="D6" s="9">
        <v>0.38955971598625183</v>
      </c>
    </row>
    <row r="7" spans="1:4">
      <c r="A7" s="9">
        <v>23</v>
      </c>
      <c r="B7" s="9">
        <v>0.43733030557632446</v>
      </c>
      <c r="C7" s="9">
        <v>0.51268720626831055</v>
      </c>
      <c r="D7" s="9">
        <v>0.47651830315589905</v>
      </c>
    </row>
    <row r="8" spans="1:4">
      <c r="A8" s="9">
        <v>24</v>
      </c>
      <c r="B8" s="9">
        <v>0.51697957515716553</v>
      </c>
      <c r="C8" s="9">
        <v>0.61207425594329834</v>
      </c>
      <c r="D8" s="9">
        <v>0.56755906343460083</v>
      </c>
    </row>
    <row r="9" spans="1:4">
      <c r="A9" s="9">
        <v>25</v>
      </c>
      <c r="B9" s="9">
        <v>0.59882086515426636</v>
      </c>
      <c r="C9" s="9">
        <v>0.72015595436096191</v>
      </c>
      <c r="D9" s="9">
        <v>0.6644253134727478</v>
      </c>
    </row>
    <row r="10" spans="1:4">
      <c r="A10" s="9">
        <v>26</v>
      </c>
      <c r="B10" s="9">
        <v>0.6516730785369873</v>
      </c>
      <c r="C10" s="9">
        <v>0.78950411081314087</v>
      </c>
      <c r="D10" s="9">
        <v>0.72620618343353271</v>
      </c>
    </row>
    <row r="11" spans="1:4">
      <c r="A11" s="9">
        <v>27</v>
      </c>
      <c r="B11" s="9">
        <v>0.68325549364089966</v>
      </c>
      <c r="C11" s="9">
        <v>0.84885305166244507</v>
      </c>
      <c r="D11" s="9">
        <v>0.77284902334213257</v>
      </c>
    </row>
    <row r="12" spans="1:4">
      <c r="A12" s="9">
        <v>28</v>
      </c>
      <c r="B12" s="9">
        <v>0.70420217514038086</v>
      </c>
      <c r="C12" s="9">
        <v>0.90144646167755127</v>
      </c>
      <c r="D12" s="9">
        <v>0.81143683195114136</v>
      </c>
    </row>
    <row r="13" spans="1:4">
      <c r="A13" s="9">
        <v>29</v>
      </c>
      <c r="B13" s="9">
        <v>0.71169555187225342</v>
      </c>
      <c r="C13" s="9">
        <v>0.95281136035919189</v>
      </c>
      <c r="D13" s="9">
        <v>0.84282565116882324</v>
      </c>
    </row>
    <row r="14" spans="1:4">
      <c r="A14" s="9">
        <v>30</v>
      </c>
      <c r="B14" s="9">
        <v>0.73601424694061279</v>
      </c>
      <c r="C14" s="9">
        <v>0.96969825029373169</v>
      </c>
      <c r="D14" s="9">
        <v>0.8612293004989624</v>
      </c>
    </row>
    <row r="15" spans="1:4">
      <c r="A15" s="9">
        <v>31</v>
      </c>
      <c r="B15" s="9">
        <v>0.75175750255584717</v>
      </c>
      <c r="C15" s="9">
        <v>1.0093933343887329</v>
      </c>
      <c r="D15" s="9">
        <v>0.88949114084243774</v>
      </c>
    </row>
    <row r="16" spans="1:4">
      <c r="A16" s="9">
        <v>32</v>
      </c>
      <c r="B16" s="9">
        <v>0.74760305881500244</v>
      </c>
      <c r="C16" s="9">
        <v>1.0591983795166016</v>
      </c>
      <c r="D16" s="9">
        <v>0.91497921943664551</v>
      </c>
    </row>
    <row r="17" spans="1:4">
      <c r="A17" s="9">
        <v>33</v>
      </c>
      <c r="B17" s="9">
        <v>0.78490763902664185</v>
      </c>
      <c r="C17" s="9">
        <v>1.085506796836853</v>
      </c>
      <c r="D17" s="9">
        <v>0.94209128618240356</v>
      </c>
    </row>
    <row r="18" spans="1:4">
      <c r="A18" s="9">
        <v>34</v>
      </c>
      <c r="B18" s="9">
        <v>0.77707153558731079</v>
      </c>
      <c r="C18" s="9">
        <v>1.1033926010131836</v>
      </c>
      <c r="D18" s="9">
        <v>0.950367271900177</v>
      </c>
    </row>
    <row r="19" spans="1:4">
      <c r="A19" s="9">
        <v>35</v>
      </c>
      <c r="B19" s="9">
        <v>0.80554616451263428</v>
      </c>
      <c r="C19" s="9">
        <v>1.1253236532211304</v>
      </c>
      <c r="D19" s="9">
        <v>0.97240382432937622</v>
      </c>
    </row>
    <row r="20" spans="1:4">
      <c r="A20" s="9">
        <v>36</v>
      </c>
      <c r="B20" s="9">
        <v>0.80717629194259644</v>
      </c>
      <c r="C20" s="9">
        <v>1.1458193063735962</v>
      </c>
      <c r="D20" s="9">
        <v>0.98441469669342041</v>
      </c>
    </row>
    <row r="21" spans="1:4">
      <c r="A21" s="9">
        <v>37</v>
      </c>
      <c r="B21" s="9">
        <v>0.82697826623916626</v>
      </c>
      <c r="C21" s="9">
        <v>1.1551804542541504</v>
      </c>
      <c r="D21" s="9">
        <v>0.99693059921264648</v>
      </c>
    </row>
    <row r="22" spans="1:4">
      <c r="A22" s="9">
        <v>38</v>
      </c>
      <c r="B22" s="9">
        <v>0.83879190683364868</v>
      </c>
      <c r="C22" s="9">
        <v>1.1444475650787354</v>
      </c>
      <c r="D22" s="9">
        <v>0.99691569805145264</v>
      </c>
    </row>
    <row r="23" spans="1:4">
      <c r="A23" s="9">
        <v>39</v>
      </c>
      <c r="B23" s="9">
        <v>0.84381401538848877</v>
      </c>
      <c r="C23" s="9">
        <v>1.1431491374969482</v>
      </c>
      <c r="D23" s="9">
        <v>0.99494773149490356</v>
      </c>
    </row>
    <row r="24" spans="1:4">
      <c r="A24" s="9">
        <v>40</v>
      </c>
      <c r="B24" s="9">
        <v>0.83166748285293579</v>
      </c>
      <c r="C24" s="9">
        <v>1.1424435377120972</v>
      </c>
      <c r="D24" s="9">
        <v>0.98889249563217163</v>
      </c>
    </row>
    <row r="25" spans="1:4">
      <c r="A25" s="9">
        <v>41</v>
      </c>
      <c r="B25" s="9">
        <v>0.8471904993057251</v>
      </c>
      <c r="C25" s="9">
        <v>1.1501134634017944</v>
      </c>
      <c r="D25" s="9">
        <v>0.99658083915710449</v>
      </c>
    </row>
    <row r="26" spans="1:4">
      <c r="A26" s="9">
        <v>42</v>
      </c>
      <c r="B26" s="9">
        <v>0.84641027450561523</v>
      </c>
      <c r="C26" s="9">
        <v>1.0896371603012085</v>
      </c>
      <c r="D26" s="9">
        <v>0.96743524074554443</v>
      </c>
    </row>
    <row r="27" spans="1:4">
      <c r="A27" s="9">
        <v>43</v>
      </c>
      <c r="B27" s="9">
        <v>0.85431569814682007</v>
      </c>
      <c r="C27" s="9">
        <v>1.089144229888916</v>
      </c>
      <c r="D27" s="9">
        <v>0.96941286325454712</v>
      </c>
    </row>
    <row r="28" spans="1:4">
      <c r="A28" s="9">
        <v>44</v>
      </c>
      <c r="B28" s="9">
        <v>0.84753310680389404</v>
      </c>
      <c r="C28" s="9">
        <v>1.1103001832962036</v>
      </c>
      <c r="D28" s="9">
        <v>0.97420632839202881</v>
      </c>
    </row>
    <row r="29" spans="1:4">
      <c r="A29" s="9">
        <v>45</v>
      </c>
      <c r="B29" s="9">
        <v>0.8550114631652832</v>
      </c>
      <c r="C29" s="9">
        <v>1.0823336839675903</v>
      </c>
      <c r="D29" s="9">
        <v>0.96299594640731812</v>
      </c>
    </row>
    <row r="30" spans="1:4">
      <c r="A30" s="9">
        <v>46</v>
      </c>
      <c r="B30" s="9">
        <v>0.84732639789581299</v>
      </c>
      <c r="C30" s="9">
        <v>1.074791431427002</v>
      </c>
      <c r="D30" s="9">
        <v>0.95547056198120117</v>
      </c>
    </row>
    <row r="31" spans="1:4">
      <c r="A31" s="9">
        <v>47</v>
      </c>
      <c r="B31" s="9">
        <v>0.84880244731903076</v>
      </c>
      <c r="C31" s="9">
        <v>1.015578031539917</v>
      </c>
      <c r="D31" s="9">
        <v>0.92787927389144897</v>
      </c>
    </row>
    <row r="32" spans="1:4">
      <c r="A32" s="9">
        <v>48</v>
      </c>
      <c r="B32" s="9">
        <v>0.83396822214126587</v>
      </c>
      <c r="C32" s="9">
        <v>1.01800537109375</v>
      </c>
      <c r="D32" s="9">
        <v>0.91885262727737427</v>
      </c>
    </row>
    <row r="33" spans="1:4">
      <c r="A33" s="9">
        <v>49</v>
      </c>
      <c r="B33" s="9">
        <v>0.81881475448608398</v>
      </c>
      <c r="C33" s="9">
        <v>1.0541352033615112</v>
      </c>
      <c r="D33" s="9">
        <v>0.9281962513923645</v>
      </c>
    </row>
    <row r="34" spans="1:4">
      <c r="A34" s="9">
        <v>50</v>
      </c>
      <c r="B34" s="9">
        <v>0.8034508228302002</v>
      </c>
      <c r="C34" s="9">
        <v>1.0119045972824097</v>
      </c>
      <c r="D34" s="9">
        <v>0.89789140224456787</v>
      </c>
    </row>
    <row r="35" spans="1:4">
      <c r="A35" s="9">
        <v>51</v>
      </c>
      <c r="B35" s="9">
        <v>0.7957494854927063</v>
      </c>
      <c r="C35" s="9">
        <v>0.97248458862304688</v>
      </c>
      <c r="D35" s="9">
        <v>0.87709158658981323</v>
      </c>
    </row>
    <row r="36" spans="1:4">
      <c r="A36" s="9">
        <v>52</v>
      </c>
      <c r="B36" s="9">
        <v>0.77372592687606812</v>
      </c>
      <c r="C36" s="9">
        <v>0.95353370904922485</v>
      </c>
      <c r="D36" s="9">
        <v>0.85606032609939575</v>
      </c>
    </row>
    <row r="37" spans="1:4">
      <c r="A37" s="9">
        <v>53</v>
      </c>
      <c r="B37" s="9">
        <v>0.76691383123397827</v>
      </c>
      <c r="C37" s="9">
        <v>0.90963613986968994</v>
      </c>
      <c r="D37" s="9">
        <v>0.8317839503288269</v>
      </c>
    </row>
    <row r="38" spans="1:4">
      <c r="A38" s="9">
        <v>54</v>
      </c>
      <c r="B38" s="9">
        <v>0.74470168352127075</v>
      </c>
      <c r="C38" s="9">
        <v>0.8920975923538208</v>
      </c>
      <c r="D38" s="9">
        <v>0.80968302488327026</v>
      </c>
    </row>
    <row r="39" spans="1:4">
      <c r="A39" s="9">
        <v>55</v>
      </c>
      <c r="B39" s="9">
        <v>0.72866976261138916</v>
      </c>
      <c r="C39" s="9">
        <v>0.89378643035888672</v>
      </c>
      <c r="D39" s="9">
        <v>0.80194032192230225</v>
      </c>
    </row>
    <row r="40" spans="1:4">
      <c r="A40" s="9">
        <v>56</v>
      </c>
      <c r="B40" s="9">
        <v>0.70807129144668579</v>
      </c>
      <c r="C40" s="9">
        <v>0.89387845993041992</v>
      </c>
      <c r="D40" s="9">
        <v>0.78988707065582275</v>
      </c>
    </row>
    <row r="41" spans="1:4">
      <c r="A41" s="9">
        <v>57</v>
      </c>
      <c r="B41" s="9">
        <v>0.7015724778175354</v>
      </c>
      <c r="C41" s="9">
        <v>0.87025773525238037</v>
      </c>
      <c r="D41" s="9">
        <v>0.7759365439414978</v>
      </c>
    </row>
    <row r="42" spans="1:4">
      <c r="A42" s="9">
        <v>58</v>
      </c>
      <c r="B42" s="9">
        <v>0.69047838449478149</v>
      </c>
      <c r="C42" s="9">
        <v>0.82851302623748779</v>
      </c>
      <c r="D42" s="9">
        <v>0.74986803531646729</v>
      </c>
    </row>
    <row r="43" spans="1:4">
      <c r="A43" s="9">
        <v>59</v>
      </c>
      <c r="B43" s="9">
        <v>0.68754869699478149</v>
      </c>
      <c r="C43" s="9">
        <v>0.83632528781890869</v>
      </c>
      <c r="D43" s="9">
        <v>0.74995499849319458</v>
      </c>
    </row>
    <row r="44" spans="1:4">
      <c r="A44" s="9">
        <v>60</v>
      </c>
      <c r="B44" s="9">
        <v>0.68302184343338013</v>
      </c>
      <c r="C44" s="9">
        <v>0.83047735691070557</v>
      </c>
      <c r="D44" s="9">
        <v>0.74482917785644531</v>
      </c>
    </row>
    <row r="45" spans="1:4">
      <c r="A45" s="9">
        <v>61</v>
      </c>
      <c r="B45" s="9">
        <v>0.67003738880157471</v>
      </c>
      <c r="C45" s="9">
        <v>0.8164752721786499</v>
      </c>
      <c r="D45" s="9">
        <v>0.73210358619689941</v>
      </c>
    </row>
    <row r="46" spans="1:4">
      <c r="A46" s="9">
        <v>62</v>
      </c>
      <c r="B46" s="9">
        <v>0.67999911308288574</v>
      </c>
      <c r="C46" s="9">
        <v>0.82633280754089355</v>
      </c>
      <c r="D46" s="9">
        <v>0.74191009998321533</v>
      </c>
    </row>
    <row r="47" spans="1:4">
      <c r="A47" s="9">
        <v>63</v>
      </c>
      <c r="B47" s="9">
        <v>0.61986702680587769</v>
      </c>
      <c r="C47" s="9">
        <v>0.78164207935333252</v>
      </c>
      <c r="D47" s="9">
        <v>0.6871039867401123</v>
      </c>
    </row>
    <row r="48" spans="1:4">
      <c r="A48" s="9">
        <v>64</v>
      </c>
      <c r="B48" s="9">
        <v>0.5898098349571228</v>
      </c>
      <c r="C48" s="9">
        <v>0.75416845083236694</v>
      </c>
      <c r="D48" s="9">
        <v>0.65744251012802124</v>
      </c>
    </row>
    <row r="49" spans="1:4">
      <c r="A49" s="9">
        <v>65</v>
      </c>
      <c r="B49" s="9">
        <v>0.545005202293396</v>
      </c>
      <c r="C49" s="9">
        <v>0.75304955244064331</v>
      </c>
      <c r="D49" s="9">
        <v>0.63032472133636475</v>
      </c>
    </row>
    <row r="50" spans="1:4">
      <c r="A50" s="9">
        <v>66</v>
      </c>
      <c r="B50" s="9">
        <v>0.52058815956115723</v>
      </c>
      <c r="C50" s="9">
        <v>0.67488831281661987</v>
      </c>
      <c r="D50" s="9">
        <v>0.58524680137634277</v>
      </c>
    </row>
    <row r="51" spans="1:4">
      <c r="A51" s="9">
        <v>67</v>
      </c>
      <c r="B51" s="9">
        <v>0.50405067205429077</v>
      </c>
      <c r="C51" s="9">
        <v>0.66521596908569336</v>
      </c>
      <c r="D51" s="9">
        <v>0.57097029685974121</v>
      </c>
    </row>
    <row r="52" spans="1:4">
      <c r="A52" s="9">
        <v>68</v>
      </c>
      <c r="B52" s="9">
        <v>0.45895221829414368</v>
      </c>
      <c r="C52" s="9">
        <v>0.66970282793045044</v>
      </c>
      <c r="D52" s="9">
        <v>0.54954284429550171</v>
      </c>
    </row>
    <row r="53" spans="1:4">
      <c r="A53" s="9">
        <v>69</v>
      </c>
      <c r="B53" s="9">
        <v>0.43773573637008667</v>
      </c>
      <c r="C53" s="9">
        <v>0.6176106333732605</v>
      </c>
      <c r="D53" s="9">
        <v>0.50850540399551392</v>
      </c>
    </row>
    <row r="54" spans="1:4">
      <c r="A54" s="9">
        <v>70</v>
      </c>
      <c r="B54" s="9">
        <v>0.40703076124191284</v>
      </c>
      <c r="C54" s="9">
        <v>0.60878962278366089</v>
      </c>
      <c r="D54" s="9">
        <v>0.48992937803268433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96B-2A17-4ADC-94CD-DAC70C94583D}">
  <dimension ref="A1:BQ41"/>
  <sheetViews>
    <sheetView topLeftCell="A9" workbookViewId="0" xr3:uid="{2089FC39-EDDF-560F-A3CF-A2712221E7F3}">
      <selection activeCell="AU43" sqref="AU43"/>
    </sheetView>
  </sheetViews>
  <sheetFormatPr defaultRowHeight="15"/>
  <sheetData>
    <row r="1" spans="1:68">
      <c r="A1" s="35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</row>
    <row r="3" spans="1:68">
      <c r="A3" s="35" t="s">
        <v>75</v>
      </c>
      <c r="B3" s="36">
        <v>43117.647824074069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</row>
    <row r="4" spans="1:68">
      <c r="A4" s="35" t="s">
        <v>76</v>
      </c>
      <c r="B4" s="36">
        <v>43383.637043483795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</row>
    <row r="5" spans="1:68">
      <c r="A5" s="35" t="s">
        <v>77</v>
      </c>
      <c r="B5" s="35" t="s">
        <v>78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</row>
    <row r="7" spans="1:68">
      <c r="A7" s="35" t="s">
        <v>79</v>
      </c>
      <c r="B7" s="35" t="s">
        <v>80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</row>
    <row r="8" spans="1:68">
      <c r="A8" s="35" t="s">
        <v>81</v>
      </c>
      <c r="B8" s="35" t="s">
        <v>82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</row>
    <row r="9" spans="1:68">
      <c r="A9" s="35" t="s">
        <v>83</v>
      </c>
      <c r="B9" s="35" t="s">
        <v>84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</row>
    <row r="11" spans="1:68">
      <c r="A11" s="37" t="s">
        <v>85</v>
      </c>
      <c r="B11" s="37" t="s">
        <v>86</v>
      </c>
      <c r="C11" s="37" t="s">
        <v>87</v>
      </c>
      <c r="D11" s="37" t="s">
        <v>88</v>
      </c>
      <c r="E11" s="37" t="s">
        <v>89</v>
      </c>
      <c r="F11" s="37" t="s">
        <v>90</v>
      </c>
      <c r="G11" s="37" t="s">
        <v>91</v>
      </c>
      <c r="H11" s="37" t="s">
        <v>92</v>
      </c>
      <c r="I11" s="37" t="s">
        <v>93</v>
      </c>
      <c r="J11" s="37" t="s">
        <v>94</v>
      </c>
      <c r="K11" s="37" t="s">
        <v>95</v>
      </c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100</v>
      </c>
      <c r="Q11" s="37" t="s">
        <v>101</v>
      </c>
      <c r="R11" s="37" t="s">
        <v>102</v>
      </c>
      <c r="S11" s="37" t="s">
        <v>103</v>
      </c>
      <c r="T11" s="37" t="s">
        <v>104</v>
      </c>
      <c r="U11" s="37" t="s">
        <v>105</v>
      </c>
      <c r="V11" s="37" t="s">
        <v>106</v>
      </c>
      <c r="W11" s="37" t="s">
        <v>107</v>
      </c>
      <c r="X11" s="37" t="s">
        <v>108</v>
      </c>
      <c r="Y11" s="37" t="s">
        <v>109</v>
      </c>
      <c r="Z11" s="37" t="s">
        <v>110</v>
      </c>
      <c r="AA11" s="37" t="s">
        <v>111</v>
      </c>
      <c r="AB11" s="37" t="s">
        <v>112</v>
      </c>
      <c r="AC11" s="37" t="s">
        <v>113</v>
      </c>
      <c r="AD11" s="37" t="s">
        <v>114</v>
      </c>
      <c r="AE11" s="37" t="s">
        <v>115</v>
      </c>
      <c r="AF11" s="37" t="s">
        <v>116</v>
      </c>
      <c r="AG11" s="37" t="s">
        <v>117</v>
      </c>
      <c r="AH11" s="37" t="s">
        <v>118</v>
      </c>
      <c r="AI11" s="37" t="s">
        <v>119</v>
      </c>
      <c r="AJ11" s="37" t="s">
        <v>120</v>
      </c>
      <c r="AK11" s="37" t="s">
        <v>121</v>
      </c>
      <c r="AL11" s="37" t="s">
        <v>122</v>
      </c>
      <c r="AM11" s="37" t="s">
        <v>123</v>
      </c>
      <c r="AN11" s="37" t="s">
        <v>124</v>
      </c>
      <c r="AO11" s="37" t="s">
        <v>125</v>
      </c>
      <c r="AP11" s="37" t="s">
        <v>126</v>
      </c>
      <c r="AQ11" s="37" t="s">
        <v>127</v>
      </c>
      <c r="AR11" s="37" t="s">
        <v>128</v>
      </c>
      <c r="AS11" s="37" t="s">
        <v>129</v>
      </c>
      <c r="AT11" s="37" t="s">
        <v>130</v>
      </c>
      <c r="AU11" s="37" t="s">
        <v>131</v>
      </c>
      <c r="AV11" s="37" t="s">
        <v>132</v>
      </c>
      <c r="AW11" s="37" t="s">
        <v>133</v>
      </c>
      <c r="AX11" s="37" t="s">
        <v>134</v>
      </c>
      <c r="AY11" s="37" t="s">
        <v>135</v>
      </c>
      <c r="AZ11" s="37" t="s">
        <v>136</v>
      </c>
      <c r="BA11" s="37" t="s">
        <v>137</v>
      </c>
      <c r="BB11" s="37" t="s">
        <v>138</v>
      </c>
      <c r="BC11" s="37" t="s">
        <v>139</v>
      </c>
      <c r="BD11" s="37" t="s">
        <v>140</v>
      </c>
      <c r="BE11" s="37" t="s">
        <v>141</v>
      </c>
      <c r="BF11" s="37" t="s">
        <v>142</v>
      </c>
      <c r="BG11" s="37" t="s">
        <v>143</v>
      </c>
      <c r="BH11" s="37" t="s">
        <v>144</v>
      </c>
      <c r="BI11" s="37" t="s">
        <v>145</v>
      </c>
      <c r="BJ11" s="37" t="s">
        <v>146</v>
      </c>
      <c r="BK11" s="37" t="s">
        <v>147</v>
      </c>
      <c r="BL11" s="37" t="s">
        <v>148</v>
      </c>
      <c r="BM11" s="37" t="s">
        <v>149</v>
      </c>
      <c r="BN11" s="37" t="s">
        <v>150</v>
      </c>
      <c r="BO11" s="37" t="s">
        <v>151</v>
      </c>
      <c r="BP11" s="37" t="s">
        <v>152</v>
      </c>
    </row>
    <row r="12" spans="1:68">
      <c r="A12" s="37" t="s">
        <v>153</v>
      </c>
      <c r="B12" s="37" t="s">
        <v>154</v>
      </c>
      <c r="C12" s="33">
        <v>15.3</v>
      </c>
      <c r="D12" s="33">
        <v>15.4</v>
      </c>
      <c r="E12" s="33">
        <v>15.6</v>
      </c>
      <c r="F12" s="33">
        <v>15.7</v>
      </c>
      <c r="G12" s="33">
        <v>15.8</v>
      </c>
      <c r="H12" s="33">
        <v>16</v>
      </c>
      <c r="I12" s="33">
        <v>16.100000000000001</v>
      </c>
      <c r="J12" s="33">
        <v>16.3</v>
      </c>
      <c r="K12" s="33">
        <v>16.399999999999999</v>
      </c>
      <c r="L12" s="33">
        <v>16.5</v>
      </c>
      <c r="M12" s="33">
        <v>16.7</v>
      </c>
      <c r="N12" s="33">
        <v>16.8</v>
      </c>
      <c r="O12" s="33">
        <v>16.899999999999999</v>
      </c>
      <c r="P12" s="33">
        <v>17.100000000000001</v>
      </c>
      <c r="Q12" s="33">
        <v>17.2</v>
      </c>
      <c r="R12" s="33">
        <v>17.3</v>
      </c>
      <c r="S12" s="33">
        <v>17.5</v>
      </c>
      <c r="T12" s="33">
        <v>17.600000000000001</v>
      </c>
      <c r="U12" s="33">
        <v>17.7</v>
      </c>
      <c r="V12" s="33">
        <v>17.899999999999999</v>
      </c>
      <c r="W12" s="33">
        <v>18</v>
      </c>
      <c r="X12" s="33">
        <v>18.100000000000001</v>
      </c>
      <c r="Y12" s="33">
        <v>18.2</v>
      </c>
      <c r="Z12" s="33">
        <v>18.399999999999999</v>
      </c>
      <c r="AA12" s="33">
        <v>18.5</v>
      </c>
      <c r="AB12" s="33">
        <v>18.600000000000001</v>
      </c>
      <c r="AC12" s="33">
        <v>18.8</v>
      </c>
      <c r="AD12" s="33">
        <v>18.899999999999999</v>
      </c>
      <c r="AE12" s="33">
        <v>19</v>
      </c>
      <c r="AF12" s="33">
        <v>19.100000000000001</v>
      </c>
      <c r="AG12" s="33">
        <v>19.3</v>
      </c>
      <c r="AH12" s="33">
        <v>19.399999999999999</v>
      </c>
      <c r="AI12" s="33">
        <v>19.5</v>
      </c>
      <c r="AJ12" s="33">
        <v>19.600000000000001</v>
      </c>
      <c r="AK12" s="33">
        <v>19.8</v>
      </c>
      <c r="AL12" s="33">
        <v>19.899999999999999</v>
      </c>
      <c r="AM12" s="33">
        <v>20</v>
      </c>
      <c r="AN12" s="33">
        <v>20.100000000000001</v>
      </c>
      <c r="AO12" s="33">
        <v>20.2</v>
      </c>
      <c r="AP12" s="33">
        <v>20.399999999999999</v>
      </c>
      <c r="AQ12" s="33">
        <v>20.5</v>
      </c>
      <c r="AR12" s="33">
        <v>20.6</v>
      </c>
      <c r="AS12" s="33">
        <v>20.7</v>
      </c>
      <c r="AT12" s="33">
        <v>20.8</v>
      </c>
      <c r="AU12" s="33">
        <v>20.9</v>
      </c>
      <c r="AV12" s="33">
        <v>21.1</v>
      </c>
      <c r="AW12" s="33">
        <v>21.2</v>
      </c>
      <c r="AX12" s="33">
        <v>21.3</v>
      </c>
      <c r="AY12" s="33">
        <v>21.4</v>
      </c>
      <c r="AZ12" s="33">
        <v>21.5</v>
      </c>
      <c r="BA12" s="33">
        <v>21.6</v>
      </c>
      <c r="BB12" s="33">
        <v>21.7</v>
      </c>
      <c r="BC12" s="33">
        <v>21.8</v>
      </c>
      <c r="BD12" s="33">
        <v>21.9</v>
      </c>
      <c r="BE12" s="33">
        <v>22.1</v>
      </c>
      <c r="BF12" s="33">
        <v>22.2</v>
      </c>
      <c r="BG12" s="33">
        <v>22.3</v>
      </c>
      <c r="BH12" s="33">
        <v>22.4</v>
      </c>
      <c r="BI12" s="33">
        <v>22.5</v>
      </c>
      <c r="BJ12" s="33">
        <v>22.6</v>
      </c>
      <c r="BK12" s="33">
        <v>22.7</v>
      </c>
      <c r="BL12" s="33">
        <v>22.8</v>
      </c>
      <c r="BM12" s="33">
        <v>22.9</v>
      </c>
      <c r="BN12" s="33">
        <v>23</v>
      </c>
      <c r="BO12" s="33">
        <v>23.1</v>
      </c>
      <c r="BP12" s="33">
        <v>23.2</v>
      </c>
    </row>
    <row r="13" spans="1:68">
      <c r="A13" s="37" t="s">
        <v>155</v>
      </c>
      <c r="B13" s="37" t="s">
        <v>154</v>
      </c>
      <c r="C13" s="33">
        <v>20.399999999999999</v>
      </c>
      <c r="D13" s="33">
        <v>20.399999999999999</v>
      </c>
      <c r="E13" s="33">
        <v>20.6</v>
      </c>
      <c r="F13" s="33">
        <v>20.7</v>
      </c>
      <c r="G13" s="33">
        <v>20.8</v>
      </c>
      <c r="H13" s="33">
        <v>20.9</v>
      </c>
      <c r="I13" s="33">
        <v>21</v>
      </c>
      <c r="J13" s="33">
        <v>21.1</v>
      </c>
      <c r="K13" s="33">
        <v>21.2</v>
      </c>
      <c r="L13" s="33">
        <v>21.4</v>
      </c>
      <c r="M13" s="33">
        <v>21.5</v>
      </c>
      <c r="N13" s="33">
        <v>21.6</v>
      </c>
      <c r="O13" s="33">
        <v>21.7</v>
      </c>
      <c r="P13" s="33">
        <v>21.8</v>
      </c>
      <c r="Q13" s="33">
        <v>21.9</v>
      </c>
      <c r="R13" s="33">
        <v>22</v>
      </c>
      <c r="S13" s="33">
        <v>22.1</v>
      </c>
      <c r="T13" s="33">
        <v>22.3</v>
      </c>
      <c r="U13" s="33">
        <v>22.4</v>
      </c>
      <c r="V13" s="33">
        <v>22.5</v>
      </c>
      <c r="W13" s="33">
        <v>22.6</v>
      </c>
      <c r="X13" s="33">
        <v>22.7</v>
      </c>
      <c r="Y13" s="33">
        <v>22.8</v>
      </c>
      <c r="Z13" s="33">
        <v>22.9</v>
      </c>
      <c r="AA13" s="33">
        <v>23</v>
      </c>
      <c r="AB13" s="33">
        <v>23.1</v>
      </c>
      <c r="AC13" s="33">
        <v>23.2</v>
      </c>
      <c r="AD13" s="33">
        <v>23.3</v>
      </c>
      <c r="AE13" s="33">
        <v>23.4</v>
      </c>
      <c r="AF13" s="33">
        <v>23.5</v>
      </c>
      <c r="AG13" s="33">
        <v>23.6</v>
      </c>
      <c r="AH13" s="33">
        <v>23.7</v>
      </c>
      <c r="AI13" s="33">
        <v>23.8</v>
      </c>
      <c r="AJ13" s="33">
        <v>23.9</v>
      </c>
      <c r="AK13" s="33">
        <v>24</v>
      </c>
      <c r="AL13" s="33">
        <v>24.1</v>
      </c>
      <c r="AM13" s="33">
        <v>24.2</v>
      </c>
      <c r="AN13" s="33">
        <v>24.3</v>
      </c>
      <c r="AO13" s="33">
        <v>24.4</v>
      </c>
      <c r="AP13" s="33">
        <v>24.5</v>
      </c>
      <c r="AQ13" s="33">
        <v>24.6</v>
      </c>
      <c r="AR13" s="33">
        <v>24.7</v>
      </c>
      <c r="AS13" s="33">
        <v>24.8</v>
      </c>
      <c r="AT13" s="33">
        <v>24.9</v>
      </c>
      <c r="AU13" s="33">
        <v>25</v>
      </c>
      <c r="AV13" s="33">
        <v>25.1</v>
      </c>
      <c r="AW13" s="33">
        <v>25.2</v>
      </c>
      <c r="AX13" s="33">
        <v>25.3</v>
      </c>
      <c r="AY13" s="33">
        <v>25.4</v>
      </c>
      <c r="AZ13" s="33">
        <v>25.5</v>
      </c>
      <c r="BA13" s="33">
        <v>25.6</v>
      </c>
      <c r="BB13" s="33">
        <v>25.7</v>
      </c>
      <c r="BC13" s="33">
        <v>25.8</v>
      </c>
      <c r="BD13" s="33">
        <v>25.9</v>
      </c>
      <c r="BE13" s="33">
        <v>26</v>
      </c>
      <c r="BF13" s="33">
        <v>26</v>
      </c>
      <c r="BG13" s="33">
        <v>26.1</v>
      </c>
      <c r="BH13" s="33">
        <v>26.2</v>
      </c>
      <c r="BI13" s="33">
        <v>26.3</v>
      </c>
      <c r="BJ13" s="33">
        <v>26.4</v>
      </c>
      <c r="BK13" s="33">
        <v>26.5</v>
      </c>
      <c r="BL13" s="33">
        <v>26.6</v>
      </c>
      <c r="BM13" s="33">
        <v>26.7</v>
      </c>
      <c r="BN13" s="33">
        <v>26.8</v>
      </c>
      <c r="BO13" s="33">
        <v>26.8</v>
      </c>
      <c r="BP13" s="33">
        <v>26.9</v>
      </c>
    </row>
    <row r="15" spans="1:68">
      <c r="A15" s="35" t="s">
        <v>156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</row>
    <row r="16" spans="1:68">
      <c r="A16" s="35" t="s">
        <v>157</v>
      </c>
      <c r="B16" s="35" t="s">
        <v>158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</row>
    <row r="18" spans="1:69">
      <c r="A18" s="35" t="s">
        <v>159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</row>
    <row r="20" spans="1:69">
      <c r="A20" s="35" t="s">
        <v>75</v>
      </c>
      <c r="B20" s="36">
        <v>43117.6481712963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</row>
    <row r="21" spans="1:69">
      <c r="A21" s="35" t="s">
        <v>76</v>
      </c>
      <c r="B21" s="36">
        <v>43383.637989097224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</row>
    <row r="22" spans="1:69">
      <c r="A22" s="35" t="s">
        <v>77</v>
      </c>
      <c r="B22" s="35" t="s">
        <v>78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</row>
    <row r="24" spans="1:69">
      <c r="A24" s="35" t="s">
        <v>79</v>
      </c>
      <c r="B24" s="35" t="s">
        <v>160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</row>
    <row r="25" spans="1:69">
      <c r="A25" s="35" t="s">
        <v>81</v>
      </c>
      <c r="B25" s="35" t="s">
        <v>82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</row>
    <row r="26" spans="1:69">
      <c r="A26" s="35" t="s">
        <v>83</v>
      </c>
      <c r="B26" s="35" t="s">
        <v>84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</row>
    <row r="28" spans="1:69">
      <c r="A28" s="37" t="s">
        <v>85</v>
      </c>
      <c r="B28" s="37" t="s">
        <v>86</v>
      </c>
      <c r="C28" s="37" t="s">
        <v>87</v>
      </c>
      <c r="D28" s="37" t="s">
        <v>88</v>
      </c>
      <c r="E28" s="37" t="s">
        <v>89</v>
      </c>
      <c r="F28" s="37" t="s">
        <v>90</v>
      </c>
      <c r="G28" s="37" t="s">
        <v>91</v>
      </c>
      <c r="H28" s="37" t="s">
        <v>92</v>
      </c>
      <c r="I28" s="37" t="s">
        <v>93</v>
      </c>
      <c r="J28" s="37" t="s">
        <v>94</v>
      </c>
      <c r="K28" s="37" t="s">
        <v>95</v>
      </c>
      <c r="L28" s="37" t="s">
        <v>96</v>
      </c>
      <c r="M28" s="37" t="s">
        <v>97</v>
      </c>
      <c r="N28" s="37" t="s">
        <v>98</v>
      </c>
      <c r="O28" s="37" t="s">
        <v>99</v>
      </c>
      <c r="P28" s="37" t="s">
        <v>100</v>
      </c>
      <c r="Q28" s="37" t="s">
        <v>101</v>
      </c>
      <c r="R28" s="37" t="s">
        <v>102</v>
      </c>
      <c r="S28" s="37" t="s">
        <v>103</v>
      </c>
      <c r="T28" s="37" t="s">
        <v>104</v>
      </c>
      <c r="U28" s="37" t="s">
        <v>105</v>
      </c>
      <c r="V28" s="37" t="s">
        <v>106</v>
      </c>
      <c r="W28" s="37" t="s">
        <v>107</v>
      </c>
      <c r="X28" s="37" t="s">
        <v>108</v>
      </c>
      <c r="Y28" s="37" t="s">
        <v>109</v>
      </c>
      <c r="Z28" s="37" t="s">
        <v>110</v>
      </c>
      <c r="AA28" s="37" t="s">
        <v>111</v>
      </c>
      <c r="AB28" s="37" t="s">
        <v>112</v>
      </c>
      <c r="AC28" s="37" t="s">
        <v>113</v>
      </c>
      <c r="AD28" s="37" t="s">
        <v>114</v>
      </c>
      <c r="AE28" s="37" t="s">
        <v>115</v>
      </c>
      <c r="AF28" s="37" t="s">
        <v>116</v>
      </c>
      <c r="AG28" s="37" t="s">
        <v>117</v>
      </c>
      <c r="AH28" s="37" t="s">
        <v>118</v>
      </c>
      <c r="AI28" s="37" t="s">
        <v>119</v>
      </c>
      <c r="AJ28" s="37" t="s">
        <v>120</v>
      </c>
      <c r="AK28" s="37" t="s">
        <v>121</v>
      </c>
      <c r="AL28" s="37" t="s">
        <v>122</v>
      </c>
      <c r="AM28" s="37" t="s">
        <v>123</v>
      </c>
      <c r="AN28" s="37" t="s">
        <v>124</v>
      </c>
      <c r="AO28" s="37" t="s">
        <v>125</v>
      </c>
      <c r="AP28" s="37" t="s">
        <v>126</v>
      </c>
      <c r="AQ28" s="37" t="s">
        <v>127</v>
      </c>
      <c r="AR28" s="37" t="s">
        <v>128</v>
      </c>
      <c r="AS28" s="37" t="s">
        <v>129</v>
      </c>
      <c r="AT28" s="37" t="s">
        <v>130</v>
      </c>
      <c r="AU28" s="37" t="s">
        <v>131</v>
      </c>
      <c r="AV28" s="37" t="s">
        <v>132</v>
      </c>
      <c r="AW28" s="37" t="s">
        <v>133</v>
      </c>
      <c r="AX28" s="37" t="s">
        <v>134</v>
      </c>
      <c r="AY28" s="37" t="s">
        <v>135</v>
      </c>
      <c r="AZ28" s="37" t="s">
        <v>136</v>
      </c>
      <c r="BA28" s="37" t="s">
        <v>137</v>
      </c>
      <c r="BB28" s="37" t="s">
        <v>138</v>
      </c>
      <c r="BC28" s="37" t="s">
        <v>139</v>
      </c>
      <c r="BD28" s="37" t="s">
        <v>140</v>
      </c>
      <c r="BE28" s="37" t="s">
        <v>141</v>
      </c>
      <c r="BF28" s="37" t="s">
        <v>142</v>
      </c>
      <c r="BG28" s="37" t="s">
        <v>143</v>
      </c>
      <c r="BH28" s="37" t="s">
        <v>144</v>
      </c>
      <c r="BI28" s="37" t="s">
        <v>145</v>
      </c>
      <c r="BJ28" s="37" t="s">
        <v>146</v>
      </c>
      <c r="BK28" s="37" t="s">
        <v>147</v>
      </c>
      <c r="BL28" s="37" t="s">
        <v>148</v>
      </c>
      <c r="BM28" s="37" t="s">
        <v>149</v>
      </c>
      <c r="BN28" s="37" t="s">
        <v>150</v>
      </c>
      <c r="BO28" s="37" t="s">
        <v>151</v>
      </c>
      <c r="BP28" s="37" t="s">
        <v>152</v>
      </c>
      <c r="BQ28" s="37" t="s">
        <v>161</v>
      </c>
    </row>
    <row r="29" spans="1:69">
      <c r="A29" s="37" t="s">
        <v>11</v>
      </c>
      <c r="B29" s="37" t="s">
        <v>154</v>
      </c>
      <c r="C29" s="38">
        <v>16363</v>
      </c>
      <c r="D29" s="38">
        <v>15310</v>
      </c>
      <c r="E29" s="38">
        <v>15924</v>
      </c>
      <c r="F29" s="38">
        <v>15892</v>
      </c>
      <c r="G29" s="38">
        <v>15540</v>
      </c>
      <c r="H29" s="38">
        <v>16326</v>
      </c>
      <c r="I29" s="38">
        <v>16734</v>
      </c>
      <c r="J29" s="38">
        <v>16237</v>
      </c>
      <c r="K29" s="38">
        <v>16384</v>
      </c>
      <c r="L29" s="38">
        <v>16403</v>
      </c>
      <c r="M29" s="38">
        <v>16805</v>
      </c>
      <c r="N29" s="38">
        <v>16999</v>
      </c>
      <c r="O29" s="38">
        <v>16960</v>
      </c>
      <c r="P29" s="38">
        <v>16389</v>
      </c>
      <c r="Q29" s="38">
        <v>15677</v>
      </c>
      <c r="R29" s="38">
        <v>15698</v>
      </c>
      <c r="S29" s="38">
        <v>15031</v>
      </c>
      <c r="T29" s="38">
        <v>14807</v>
      </c>
      <c r="U29" s="38">
        <v>14700</v>
      </c>
      <c r="V29" s="38">
        <v>15445</v>
      </c>
      <c r="W29" s="38">
        <v>16094</v>
      </c>
      <c r="X29" s="38">
        <v>16493</v>
      </c>
      <c r="Y29" s="38">
        <v>16762</v>
      </c>
      <c r="Z29" s="38">
        <v>16520</v>
      </c>
      <c r="AA29" s="38">
        <v>16092</v>
      </c>
      <c r="AB29" s="38">
        <v>16185</v>
      </c>
      <c r="AC29" s="38">
        <v>16228</v>
      </c>
      <c r="AD29" s="38">
        <v>16338</v>
      </c>
      <c r="AE29" s="38">
        <v>16350</v>
      </c>
      <c r="AF29" s="38">
        <v>16030</v>
      </c>
      <c r="AG29" s="38">
        <v>16167</v>
      </c>
      <c r="AH29" s="38">
        <v>16388</v>
      </c>
      <c r="AI29" s="38">
        <v>16680</v>
      </c>
      <c r="AJ29" s="38">
        <v>16805</v>
      </c>
      <c r="AK29" s="38">
        <v>17544</v>
      </c>
      <c r="AL29" s="38">
        <v>17672</v>
      </c>
      <c r="AM29" s="38">
        <v>17554</v>
      </c>
      <c r="AN29" s="38">
        <v>17828</v>
      </c>
      <c r="AO29" s="38">
        <v>18790</v>
      </c>
      <c r="AP29" s="38">
        <v>19021</v>
      </c>
      <c r="AQ29" s="38">
        <v>18872</v>
      </c>
      <c r="AR29" s="38">
        <v>17820</v>
      </c>
      <c r="AS29" s="38">
        <v>16009</v>
      </c>
      <c r="AT29" s="38">
        <v>15597</v>
      </c>
      <c r="AU29" s="38">
        <v>13718</v>
      </c>
      <c r="AV29" s="38">
        <v>12912</v>
      </c>
      <c r="AW29" s="38">
        <v>12486</v>
      </c>
      <c r="AX29" s="38">
        <v>12344</v>
      </c>
      <c r="AY29" s="38">
        <v>11727</v>
      </c>
      <c r="AZ29" s="38">
        <v>11389</v>
      </c>
      <c r="BA29" s="38">
        <v>11607</v>
      </c>
      <c r="BB29" s="38">
        <v>12234</v>
      </c>
      <c r="BC29" s="38">
        <v>11919</v>
      </c>
      <c r="BD29" s="38">
        <v>12235</v>
      </c>
      <c r="BE29" s="38">
        <v>12264</v>
      </c>
      <c r="BF29" s="38">
        <v>13054</v>
      </c>
      <c r="BG29" s="38">
        <v>13427</v>
      </c>
      <c r="BH29" s="38">
        <v>13896</v>
      </c>
      <c r="BI29" s="38">
        <v>14681</v>
      </c>
      <c r="BJ29" s="38">
        <v>14994</v>
      </c>
      <c r="BK29" s="38">
        <v>14822</v>
      </c>
      <c r="BL29" s="38">
        <v>15007</v>
      </c>
      <c r="BM29" s="38">
        <v>13973</v>
      </c>
      <c r="BN29" s="38">
        <v>13441</v>
      </c>
      <c r="BO29" s="38">
        <v>13067</v>
      </c>
      <c r="BP29" s="38">
        <v>13227</v>
      </c>
      <c r="BQ29" s="38">
        <v>13692</v>
      </c>
    </row>
    <row r="30" spans="1:69">
      <c r="A30" s="37" t="s">
        <v>153</v>
      </c>
      <c r="B30" s="37" t="s">
        <v>154</v>
      </c>
      <c r="C30" s="38">
        <v>6774</v>
      </c>
      <c r="D30" s="38">
        <v>6374</v>
      </c>
      <c r="E30" s="38">
        <v>6588</v>
      </c>
      <c r="F30" s="38">
        <v>6686</v>
      </c>
      <c r="G30" s="38">
        <v>6653</v>
      </c>
      <c r="H30" s="38">
        <v>6984</v>
      </c>
      <c r="I30" s="38">
        <v>7218</v>
      </c>
      <c r="J30" s="38">
        <v>6973</v>
      </c>
      <c r="K30" s="38">
        <v>7106</v>
      </c>
      <c r="L30" s="38">
        <v>7215</v>
      </c>
      <c r="M30" s="38">
        <v>7482</v>
      </c>
      <c r="N30" s="38">
        <v>7549</v>
      </c>
      <c r="O30" s="38">
        <v>7532</v>
      </c>
      <c r="P30" s="38">
        <v>7469</v>
      </c>
      <c r="Q30" s="38">
        <v>7207</v>
      </c>
      <c r="R30" s="38">
        <v>7219</v>
      </c>
      <c r="S30" s="38">
        <v>6835</v>
      </c>
      <c r="T30" s="38">
        <v>6881</v>
      </c>
      <c r="U30" s="38">
        <v>6762</v>
      </c>
      <c r="V30" s="38">
        <v>7278</v>
      </c>
      <c r="W30" s="38">
        <v>7574</v>
      </c>
      <c r="X30" s="38">
        <v>7768</v>
      </c>
      <c r="Y30" s="38">
        <v>8049</v>
      </c>
      <c r="Z30" s="38">
        <v>7943</v>
      </c>
      <c r="AA30" s="38">
        <v>7831</v>
      </c>
      <c r="AB30" s="38">
        <v>7746</v>
      </c>
      <c r="AC30" s="38">
        <v>7945</v>
      </c>
      <c r="AD30" s="38">
        <v>7921</v>
      </c>
      <c r="AE30" s="38">
        <v>8061</v>
      </c>
      <c r="AF30" s="38">
        <v>7817</v>
      </c>
      <c r="AG30" s="38">
        <v>7956</v>
      </c>
      <c r="AH30" s="38">
        <v>8027</v>
      </c>
      <c r="AI30" s="38">
        <v>8240</v>
      </c>
      <c r="AJ30" s="38">
        <v>8181</v>
      </c>
      <c r="AK30" s="38">
        <v>8700</v>
      </c>
      <c r="AL30" s="38">
        <v>8655</v>
      </c>
      <c r="AM30" s="38">
        <v>8674</v>
      </c>
      <c r="AN30" s="38">
        <v>8868</v>
      </c>
      <c r="AO30" s="38">
        <v>9356</v>
      </c>
      <c r="AP30" s="38">
        <v>9438</v>
      </c>
      <c r="AQ30" s="38">
        <v>9397</v>
      </c>
      <c r="AR30" s="38">
        <v>8883</v>
      </c>
      <c r="AS30" s="38">
        <v>7916</v>
      </c>
      <c r="AT30" s="38">
        <v>7715</v>
      </c>
      <c r="AU30" s="38">
        <v>6855</v>
      </c>
      <c r="AV30" s="38">
        <v>6315</v>
      </c>
      <c r="AW30" s="38">
        <v>6153</v>
      </c>
      <c r="AX30" s="38">
        <v>6107</v>
      </c>
      <c r="AY30" s="38">
        <v>5874</v>
      </c>
      <c r="AZ30" s="38">
        <v>5683</v>
      </c>
      <c r="BA30" s="38">
        <v>5750</v>
      </c>
      <c r="BB30" s="38">
        <v>6166</v>
      </c>
      <c r="BC30" s="38">
        <v>5969</v>
      </c>
      <c r="BD30" s="38">
        <v>6012</v>
      </c>
      <c r="BE30" s="38">
        <v>6017</v>
      </c>
      <c r="BF30" s="38">
        <v>6455</v>
      </c>
      <c r="BG30" s="38">
        <v>6765</v>
      </c>
      <c r="BH30" s="38">
        <v>6985</v>
      </c>
      <c r="BI30" s="38">
        <v>7283</v>
      </c>
      <c r="BJ30" s="38">
        <v>7461</v>
      </c>
      <c r="BK30" s="38">
        <v>7287</v>
      </c>
      <c r="BL30" s="38">
        <v>7503</v>
      </c>
      <c r="BM30" s="38">
        <v>6973</v>
      </c>
      <c r="BN30" s="38">
        <v>6672</v>
      </c>
      <c r="BO30" s="38">
        <v>6423</v>
      </c>
      <c r="BP30" s="38">
        <v>6504</v>
      </c>
      <c r="BQ30" s="38">
        <v>6788</v>
      </c>
    </row>
    <row r="31" spans="1:69">
      <c r="A31" s="37" t="s">
        <v>155</v>
      </c>
      <c r="B31" s="37" t="s">
        <v>154</v>
      </c>
      <c r="C31" s="38">
        <v>9589</v>
      </c>
      <c r="D31" s="38">
        <v>8936</v>
      </c>
      <c r="E31" s="38">
        <v>9336</v>
      </c>
      <c r="F31" s="38">
        <v>9206</v>
      </c>
      <c r="G31" s="38">
        <v>8887</v>
      </c>
      <c r="H31" s="38">
        <v>9342</v>
      </c>
      <c r="I31" s="38">
        <v>9516</v>
      </c>
      <c r="J31" s="38">
        <v>9264</v>
      </c>
      <c r="K31" s="38">
        <v>9278</v>
      </c>
      <c r="L31" s="38">
        <v>9188</v>
      </c>
      <c r="M31" s="38">
        <v>9323</v>
      </c>
      <c r="N31" s="38">
        <v>9450</v>
      </c>
      <c r="O31" s="38">
        <v>9428</v>
      </c>
      <c r="P31" s="38">
        <v>8920</v>
      </c>
      <c r="Q31" s="38">
        <v>8470</v>
      </c>
      <c r="R31" s="38">
        <v>8479</v>
      </c>
      <c r="S31" s="38">
        <v>8196</v>
      </c>
      <c r="T31" s="38">
        <v>7926</v>
      </c>
      <c r="U31" s="38">
        <v>7938</v>
      </c>
      <c r="V31" s="38">
        <v>8167</v>
      </c>
      <c r="W31" s="38">
        <v>8520</v>
      </c>
      <c r="X31" s="38">
        <v>8725</v>
      </c>
      <c r="Y31" s="38">
        <v>8713</v>
      </c>
      <c r="Z31" s="38">
        <v>8577</v>
      </c>
      <c r="AA31" s="38">
        <v>8261</v>
      </c>
      <c r="AB31" s="38">
        <v>8439</v>
      </c>
      <c r="AC31" s="38">
        <v>8283</v>
      </c>
      <c r="AD31" s="38">
        <v>8417</v>
      </c>
      <c r="AE31" s="38">
        <v>8289</v>
      </c>
      <c r="AF31" s="38">
        <v>8213</v>
      </c>
      <c r="AG31" s="38">
        <v>8211</v>
      </c>
      <c r="AH31" s="38">
        <v>8361</v>
      </c>
      <c r="AI31" s="38">
        <v>8440</v>
      </c>
      <c r="AJ31" s="38">
        <v>8624</v>
      </c>
      <c r="AK31" s="38">
        <v>8844</v>
      </c>
      <c r="AL31" s="38">
        <v>9017</v>
      </c>
      <c r="AM31" s="38">
        <v>8880</v>
      </c>
      <c r="AN31" s="38">
        <v>8960</v>
      </c>
      <c r="AO31" s="38">
        <v>9434</v>
      </c>
      <c r="AP31" s="38">
        <v>9583</v>
      </c>
      <c r="AQ31" s="38">
        <v>9475</v>
      </c>
      <c r="AR31" s="38">
        <v>8937</v>
      </c>
      <c r="AS31" s="38">
        <v>8093</v>
      </c>
      <c r="AT31" s="38">
        <v>7882</v>
      </c>
      <c r="AU31" s="38">
        <v>6863</v>
      </c>
      <c r="AV31" s="38">
        <v>6597</v>
      </c>
      <c r="AW31" s="38">
        <v>6333</v>
      </c>
      <c r="AX31" s="38">
        <v>6237</v>
      </c>
      <c r="AY31" s="38">
        <v>5853</v>
      </c>
      <c r="AZ31" s="38">
        <v>5706</v>
      </c>
      <c r="BA31" s="38">
        <v>5857</v>
      </c>
      <c r="BB31" s="38">
        <v>6068</v>
      </c>
      <c r="BC31" s="38">
        <v>5950</v>
      </c>
      <c r="BD31" s="38">
        <v>6223</v>
      </c>
      <c r="BE31" s="38">
        <v>6247</v>
      </c>
      <c r="BF31" s="38">
        <v>6599</v>
      </c>
      <c r="BG31" s="38">
        <v>6662</v>
      </c>
      <c r="BH31" s="38">
        <v>6911</v>
      </c>
      <c r="BI31" s="38">
        <v>7398</v>
      </c>
      <c r="BJ31" s="38">
        <v>7533</v>
      </c>
      <c r="BK31" s="38">
        <v>7535</v>
      </c>
      <c r="BL31" s="38">
        <v>7504</v>
      </c>
      <c r="BM31" s="38">
        <v>7000</v>
      </c>
      <c r="BN31" s="38">
        <v>6769</v>
      </c>
      <c r="BO31" s="38">
        <v>6644</v>
      </c>
      <c r="BP31" s="38">
        <v>6723</v>
      </c>
      <c r="BQ31" s="38">
        <v>6904</v>
      </c>
    </row>
    <row r="33" spans="1:69">
      <c r="A33" s="35" t="s">
        <v>156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</row>
    <row r="34" spans="1:69">
      <c r="A34" s="35" t="s">
        <v>157</v>
      </c>
      <c r="B34" s="35" t="s">
        <v>158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40" spans="1:69">
      <c r="A40" s="9" t="s">
        <v>162</v>
      </c>
      <c r="B40" s="9"/>
      <c r="C40" s="37">
        <v>2015</v>
      </c>
      <c r="D40" s="37">
        <v>2016</v>
      </c>
      <c r="E40" s="37">
        <v>2017</v>
      </c>
      <c r="F40" s="37">
        <v>2018</v>
      </c>
      <c r="G40" s="37">
        <v>2019</v>
      </c>
      <c r="H40" s="37">
        <v>2020</v>
      </c>
      <c r="I40" s="37">
        <v>2021</v>
      </c>
      <c r="J40" s="37">
        <v>2022</v>
      </c>
      <c r="K40" s="37">
        <v>2023</v>
      </c>
      <c r="L40" s="37">
        <v>2024</v>
      </c>
      <c r="M40" s="37">
        <v>2025</v>
      </c>
      <c r="N40" s="37">
        <v>2026</v>
      </c>
      <c r="O40" s="37">
        <v>2027</v>
      </c>
      <c r="P40" s="37">
        <v>2028</v>
      </c>
      <c r="Q40" s="37">
        <v>2029</v>
      </c>
      <c r="R40" s="37">
        <v>2030</v>
      </c>
      <c r="S40" s="37">
        <v>2031</v>
      </c>
      <c r="T40" s="37">
        <v>2032</v>
      </c>
      <c r="U40" s="37">
        <v>2033</v>
      </c>
      <c r="V40" s="37">
        <v>2034</v>
      </c>
      <c r="W40" s="37">
        <v>2035</v>
      </c>
      <c r="X40" s="37">
        <v>2036</v>
      </c>
      <c r="Y40" s="37">
        <v>2037</v>
      </c>
      <c r="Z40" s="37">
        <v>2038</v>
      </c>
      <c r="AA40" s="37">
        <v>2039</v>
      </c>
      <c r="AB40" s="37">
        <v>2040</v>
      </c>
      <c r="AC40" s="37">
        <v>2041</v>
      </c>
      <c r="AD40" s="37">
        <v>2042</v>
      </c>
      <c r="AE40" s="37">
        <v>2043</v>
      </c>
      <c r="AF40" s="37">
        <v>2044</v>
      </c>
      <c r="AG40" s="37">
        <v>2045</v>
      </c>
      <c r="AH40" s="37">
        <v>2046</v>
      </c>
      <c r="AI40" s="37">
        <v>2047</v>
      </c>
      <c r="AJ40" s="37">
        <v>2048</v>
      </c>
      <c r="AK40" s="37">
        <v>2049</v>
      </c>
      <c r="AL40" s="37">
        <v>2050</v>
      </c>
      <c r="AM40" s="37">
        <v>2051</v>
      </c>
      <c r="AN40" s="37">
        <v>2052</v>
      </c>
      <c r="AO40" s="37">
        <v>2053</v>
      </c>
      <c r="AP40" s="37">
        <v>2054</v>
      </c>
      <c r="AQ40" s="37">
        <v>2055</v>
      </c>
      <c r="AR40" s="37">
        <v>2056</v>
      </c>
      <c r="AS40" s="37">
        <v>2057</v>
      </c>
      <c r="AT40" s="37">
        <v>2058</v>
      </c>
      <c r="AU40" s="37">
        <v>2059</v>
      </c>
      <c r="AV40" s="37">
        <v>2060</v>
      </c>
      <c r="AW40" s="37">
        <v>2061</v>
      </c>
      <c r="AX40" s="37">
        <v>2062</v>
      </c>
      <c r="AY40" s="37">
        <v>2063</v>
      </c>
      <c r="AZ40" s="37">
        <v>2064</v>
      </c>
      <c r="BA40" s="37">
        <v>2065</v>
      </c>
      <c r="BB40" s="37">
        <v>2066</v>
      </c>
      <c r="BC40" s="37">
        <v>2067</v>
      </c>
      <c r="BD40" s="37">
        <v>2068</v>
      </c>
      <c r="BE40" s="37">
        <v>2069</v>
      </c>
      <c r="BF40" s="37">
        <v>2070</v>
      </c>
      <c r="BG40" s="37">
        <v>2071</v>
      </c>
      <c r="BH40" s="37">
        <v>2072</v>
      </c>
      <c r="BI40" s="37">
        <v>2073</v>
      </c>
      <c r="BJ40" s="37">
        <v>2074</v>
      </c>
      <c r="BK40" s="37">
        <v>2075</v>
      </c>
      <c r="BL40" s="37">
        <v>2076</v>
      </c>
      <c r="BM40" s="37">
        <v>2077</v>
      </c>
      <c r="BN40" s="37">
        <v>2078</v>
      </c>
      <c r="BO40" s="37">
        <v>2079</v>
      </c>
      <c r="BP40" s="37">
        <v>2080</v>
      </c>
      <c r="BQ40" s="37">
        <v>2081</v>
      </c>
    </row>
    <row r="41" spans="1:69">
      <c r="A41" s="9"/>
      <c r="B41" s="9"/>
      <c r="C41" s="39">
        <f>((C30*C12)+(C31*C13))/C29</f>
        <v>18.288687893418075</v>
      </c>
      <c r="D41" s="39">
        <f t="shared" ref="D41:BO41" si="0">((D30*D12)+(D31*D13))/D29</f>
        <v>18.318354016982365</v>
      </c>
      <c r="E41" s="39">
        <f t="shared" si="0"/>
        <v>18.531424265259986</v>
      </c>
      <c r="F41" s="39">
        <f t="shared" si="0"/>
        <v>18.59642587465391</v>
      </c>
      <c r="G41" s="39">
        <f t="shared" si="0"/>
        <v>18.65939510939511</v>
      </c>
      <c r="H41" s="39">
        <f t="shared" si="0"/>
        <v>18.80385887541345</v>
      </c>
      <c r="I41" s="39">
        <f t="shared" si="0"/>
        <v>18.886446755109361</v>
      </c>
      <c r="J41" s="39">
        <f t="shared" si="0"/>
        <v>19.038633984110369</v>
      </c>
      <c r="K41" s="39">
        <f t="shared" si="0"/>
        <v>19.1181640625</v>
      </c>
      <c r="L41" s="39">
        <f t="shared" si="0"/>
        <v>19.244693043955373</v>
      </c>
      <c r="M41" s="39">
        <f t="shared" si="0"/>
        <v>19.362921749479323</v>
      </c>
      <c r="N41" s="39">
        <f t="shared" si="0"/>
        <v>19.468392258368141</v>
      </c>
      <c r="O41" s="39">
        <f t="shared" si="0"/>
        <v>19.568301886792455</v>
      </c>
      <c r="P41" s="39">
        <f t="shared" si="0"/>
        <v>19.658057233510284</v>
      </c>
      <c r="Q41" s="39">
        <f t="shared" si="0"/>
        <v>19.739325125980738</v>
      </c>
      <c r="R41" s="39">
        <f t="shared" si="0"/>
        <v>19.83862275449102</v>
      </c>
      <c r="S41" s="39">
        <f t="shared" si="0"/>
        <v>20.008256270374559</v>
      </c>
      <c r="T41" s="39">
        <f t="shared" si="0"/>
        <v>20.115850611197409</v>
      </c>
      <c r="U41" s="39">
        <f t="shared" si="0"/>
        <v>20.238</v>
      </c>
      <c r="V41" s="39">
        <f t="shared" si="0"/>
        <v>20.332385885399802</v>
      </c>
      <c r="W41" s="39">
        <f t="shared" si="0"/>
        <v>20.435193239716664</v>
      </c>
      <c r="X41" s="39">
        <f t="shared" si="0"/>
        <v>20.533456617959136</v>
      </c>
      <c r="Y41" s="39">
        <f t="shared" si="0"/>
        <v>20.591110845961101</v>
      </c>
      <c r="Z41" s="39">
        <f t="shared" si="0"/>
        <v>20.736349878934625</v>
      </c>
      <c r="AA41" s="39">
        <f t="shared" si="0"/>
        <v>20.810123042505595</v>
      </c>
      <c r="AB41" s="39">
        <f t="shared" si="0"/>
        <v>20.94633920296571</v>
      </c>
      <c r="AC41" s="39">
        <f t="shared" si="0"/>
        <v>21.045822035987182</v>
      </c>
      <c r="AD41" s="39">
        <f t="shared" si="0"/>
        <v>21.166789080670828</v>
      </c>
      <c r="AE41" s="39">
        <f t="shared" si="0"/>
        <v>21.230678899082566</v>
      </c>
      <c r="AF41" s="39">
        <f t="shared" si="0"/>
        <v>21.35434809731753</v>
      </c>
      <c r="AG41" s="39">
        <f t="shared" si="0"/>
        <v>21.483911671924293</v>
      </c>
      <c r="AH41" s="39">
        <f t="shared" si="0"/>
        <v>21.593818647791068</v>
      </c>
      <c r="AI41" s="39">
        <f t="shared" si="0"/>
        <v>21.675779376498802</v>
      </c>
      <c r="AJ41" s="39">
        <f t="shared" si="0"/>
        <v>21.806676584349894</v>
      </c>
      <c r="AK41" s="39">
        <f t="shared" si="0"/>
        <v>21.917236662106703</v>
      </c>
      <c r="AL41" s="39">
        <f t="shared" si="0"/>
        <v>22.043017202354008</v>
      </c>
      <c r="AM41" s="39">
        <f t="shared" si="0"/>
        <v>22.124643955793552</v>
      </c>
      <c r="AN41" s="39">
        <f t="shared" si="0"/>
        <v>22.210836885797626</v>
      </c>
      <c r="AO41" s="39">
        <f t="shared" si="0"/>
        <v>22.308717402873864</v>
      </c>
      <c r="AP41" s="39">
        <f t="shared" si="0"/>
        <v>22.46562746438147</v>
      </c>
      <c r="AQ41" s="39">
        <f t="shared" si="0"/>
        <v>22.558472869860111</v>
      </c>
      <c r="AR41" s="39">
        <f t="shared" si="0"/>
        <v>22.656212121212121</v>
      </c>
      <c r="AS41" s="39">
        <f t="shared" si="0"/>
        <v>22.772665375726152</v>
      </c>
      <c r="AT41" s="39">
        <f t="shared" si="0"/>
        <v>22.871949733923188</v>
      </c>
      <c r="AU41" s="39">
        <f t="shared" si="0"/>
        <v>22.951195509549496</v>
      </c>
      <c r="AV41" s="39">
        <f t="shared" si="0"/>
        <v>23.143680297397772</v>
      </c>
      <c r="AW41" s="39">
        <f t="shared" si="0"/>
        <v>23.22883229216723</v>
      </c>
      <c r="AX41" s="39">
        <f t="shared" si="0"/>
        <v>23.321062864549578</v>
      </c>
      <c r="AY41" s="39">
        <f t="shared" si="0"/>
        <v>23.39641852136096</v>
      </c>
      <c r="AZ41" s="39">
        <f t="shared" si="0"/>
        <v>23.504038984985513</v>
      </c>
      <c r="BA41" s="39">
        <f t="shared" si="0"/>
        <v>23.618437149995692</v>
      </c>
      <c r="BB41" s="39">
        <f t="shared" si="0"/>
        <v>23.683979074709825</v>
      </c>
      <c r="BC41" s="39">
        <f t="shared" si="0"/>
        <v>23.796811813071567</v>
      </c>
      <c r="BD41" s="39">
        <f t="shared" si="0"/>
        <v>23.9344912137311</v>
      </c>
      <c r="BE41" s="39">
        <f t="shared" si="0"/>
        <v>24.086570450097849</v>
      </c>
      <c r="BF41" s="39">
        <f t="shared" si="0"/>
        <v>24.120959092998316</v>
      </c>
      <c r="BG41" s="39">
        <f t="shared" si="0"/>
        <v>24.18542489014672</v>
      </c>
      <c r="BH41" s="39">
        <f t="shared" si="0"/>
        <v>24.289881980426017</v>
      </c>
      <c r="BI41" s="39">
        <f t="shared" si="0"/>
        <v>24.414883182344528</v>
      </c>
      <c r="BJ41" s="39">
        <f t="shared" si="0"/>
        <v>24.509123649459784</v>
      </c>
      <c r="BK41" s="39">
        <f t="shared" si="0"/>
        <v>24.631790581567941</v>
      </c>
      <c r="BL41" s="39">
        <f t="shared" si="0"/>
        <v>24.70012660758313</v>
      </c>
      <c r="BM41" s="39">
        <f t="shared" si="0"/>
        <v>24.803671366206252</v>
      </c>
      <c r="BN41" s="39">
        <f t="shared" si="0"/>
        <v>24.913711777397516</v>
      </c>
      <c r="BO41" s="39">
        <f t="shared" si="0"/>
        <v>24.981288742634117</v>
      </c>
      <c r="BP41" s="39">
        <f t="shared" ref="BP41:BQ41" si="1">((BP30*BP12)+(BP31*BP13))/BP29</f>
        <v>25.080630528464503</v>
      </c>
      <c r="BQ41" s="3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B691B85CD034490698ED44C25386F" ma:contentTypeVersion="11" ma:contentTypeDescription="Create a new document." ma:contentTypeScope="" ma:versionID="aa79e6eded15e56bae5586a357d395f7">
  <xsd:schema xmlns:xsd="http://www.w3.org/2001/XMLSchema" xmlns:xs="http://www.w3.org/2001/XMLSchema" xmlns:p="http://schemas.microsoft.com/office/2006/metadata/properties" xmlns:ns2="8b0f035a-d720-45da-970b-8e1d8c75be90" xmlns:ns3="26042063-502d-4228-ac31-7bca5d243892" targetNamespace="http://schemas.microsoft.com/office/2006/metadata/properties" ma:root="true" ma:fieldsID="f3d0b7c309524e680a60e4e9cbac3ecc" ns2:_="" ns3:_="">
    <xsd:import namespace="8b0f035a-d720-45da-970b-8e1d8c75be90"/>
    <xsd:import namespace="26042063-502d-4228-ac31-7bca5d24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ate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f035a-d720-45da-970b-8e1d8c75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Date" ma:index="10" nillable="true" ma:displayName="Date" ma:format="DateOnly" ma:internalName="Date">
      <xsd:simpleType>
        <xsd:restriction base="dms:DateTim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42063-502d-4228-ac31-7bca5d243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8b0f035a-d720-45da-970b-8e1d8c75be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E8CD4-C31B-49BE-B324-77512CBF363E}"/>
</file>

<file path=customXml/itemProps2.xml><?xml version="1.0" encoding="utf-8"?>
<ds:datastoreItem xmlns:ds="http://schemas.openxmlformats.org/officeDocument/2006/customXml" ds:itemID="{D78C6843-4AF8-4CD2-9180-1E7D427FD5AD}"/>
</file>

<file path=customXml/itemProps3.xml><?xml version="1.0" encoding="utf-8"?>
<ds:datastoreItem xmlns:ds="http://schemas.openxmlformats.org/officeDocument/2006/customXml" ds:itemID="{C7876FE0-DE0A-460E-9DDB-A6E0FDD2F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Piirits</dc:creator>
  <cp:keywords/>
  <dc:description/>
  <cp:lastModifiedBy/>
  <cp:revision/>
  <dcterms:created xsi:type="dcterms:W3CDTF">2018-09-17T09:39:35Z</dcterms:created>
  <dcterms:modified xsi:type="dcterms:W3CDTF">2018-11-15T16:24:42Z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0x010100DD3B691B85CD034490698ED44C25386F</vt:lpwstr>
  </property>
</Properties>
</file>